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0" yWindow="30" windowWidth="11295" windowHeight="5370" activeTab="0"/>
  </bookViews>
  <sheets>
    <sheet name="Erläuterung" sheetId="1" r:id="rId1"/>
    <sheet name="Eingabe-Ergebnis" sheetId="2" r:id="rId2"/>
    <sheet name="Detailergebnis" sheetId="3" r:id="rId3"/>
    <sheet name="Lüftung Heizung Warmwasser" sheetId="4" r:id="rId4"/>
    <sheet name="Darlehen" sheetId="5" state="hidden" r:id="rId5"/>
    <sheet name="Energie" sheetId="6" state="hidden" r:id="rId6"/>
    <sheet name="Finanzierung" sheetId="7" state="hidden" r:id="rId7"/>
    <sheet name="Daten" sheetId="8" state="hidden" r:id="rId8"/>
  </sheets>
  <definedNames>
    <definedName name="Brennwerttherme_Erdgas">'Lüftung Heizung Warmwasser'!$C$55</definedName>
    <definedName name="Brennwerttherme_Flüssiggas">'Lüftung Heizung Warmwasser'!$C$56</definedName>
    <definedName name="Brennwerttherme_Heizöl">'Lüftung Heizung Warmwasser'!$C$54</definedName>
    <definedName name="BW_Erdgas">'Lüftung Heizung Warmwasser'!$S$55</definedName>
    <definedName name="BW_Flüssiggas">'Lüftung Heizung Warmwasser'!$S$56</definedName>
    <definedName name="BW_Öl">'Lüftung Heizung Warmwasser'!$C$54</definedName>
    <definedName name="dezentrale_Einzelgeräte">'Lüftung Heizung Warmwasser'!$S$32</definedName>
    <definedName name="_xlnm.Print_Area" localSheetId="7">'Daten'!$A$1</definedName>
    <definedName name="_xlnm.Print_Area" localSheetId="2">'Detailergebnis'!$B$2:$J$63</definedName>
    <definedName name="_xlnm.Print_Area" localSheetId="1">'Eingabe-Ergebnis'!$B$2:$U$49</definedName>
    <definedName name="_xlnm.Print_Area" localSheetId="5">'Energie'!$J$1:$P$63,'Energie'!$A$1:$G$63</definedName>
    <definedName name="_xlnm.Print_Area" localSheetId="0">'Erläuterung'!$A$1:$I$29</definedName>
    <definedName name="_xlnm.Print_Area" localSheetId="6">'Finanzierung'!$A$1:$E$14</definedName>
    <definedName name="Elektr._Strom">'Lüftung Heizung Warmwasser'!$C$90</definedName>
    <definedName name="Elektr._Strom_WP">'Lüftung Heizung Warmwasser'!$C$91</definedName>
    <definedName name="EnEV">'Lüftung Heizung Warmwasser'!$C$78</definedName>
    <definedName name="Erdgas_H">'Lüftung Heizung Warmwasser'!$C$85</definedName>
    <definedName name="Fensterlüftung_manuell">'Lüftung Heizung Warmwasser'!$C$33</definedName>
    <definedName name="Flüssiggas">'Lüftung Heizung Warmwasser'!$C$86</definedName>
    <definedName name="freie_Eingabe">'Lüftung Heizung Warmwasser'!$S$43</definedName>
    <definedName name="Fußbodenerwärmung">'Lüftung Heizung Warmwasser'!$S$66</definedName>
    <definedName name="Fußbodenheizung">'Lüftung Heizung Warmwasser'!$C$66</definedName>
    <definedName name="Große_Anlage">'Lüftung Heizung Warmwasser'!$S$42</definedName>
    <definedName name="Heizkörper">'Lüftung Heizung Warmwasser'!$S$68</definedName>
    <definedName name="Heizkörper_mit_Leitungsnetz">'Lüftung Heizung Warmwasser'!$C$68</definedName>
    <definedName name="Heizöl_EL">'Lüftung Heizung Warmwasser'!$C$87</definedName>
    <definedName name="Heizwärmeverteilung_freie_Eingabe">'Lüftung Heizung Warmwasser'!$S$69</definedName>
    <definedName name="Kleine_Anlage">'Lüftung Heizung Warmwasser'!$S$41</definedName>
    <definedName name="Lüftung_freie_Eingabe">'Lüftung Heizung Warmwasser'!$S$33</definedName>
    <definedName name="Pelletkessel">'Lüftung Heizung Warmwasser'!$C$53</definedName>
    <definedName name="Pelletofen">'Lüftung Heizung Warmwasser'!$S$53</definedName>
    <definedName name="Pellets">'Lüftung Heizung Warmwasser'!$C$88</definedName>
    <definedName name="PHPP">'Lüftung Heizung Warmwasser'!$C$79</definedName>
    <definedName name="Restwärmeerzeugung">'Lüftung Heizung Warmwasser'!$S$57</definedName>
    <definedName name="Restwärmeerzeugung_freie_Eingabe">'Lüftung Heizung Warmwasser'!$C$57</definedName>
    <definedName name="Scheitholzofen">'Lüftung Heizung Warmwasser'!$S$54</definedName>
    <definedName name="Stückholz">'Lüftung Heizung Warmwasser'!$C$89</definedName>
    <definedName name="über_Zuluftleitung">'Lüftung Heizung Warmwasser'!$S$65</definedName>
    <definedName name="Wandflächenerwärmung">'Lüftung Heizung Warmwasser'!$S$67</definedName>
    <definedName name="Wandflächenheizung">'Lüftung Heizung Warmwasser'!$C$67</definedName>
    <definedName name="Wärmepumpe_Abluft_Wasser">'Lüftung Heizung Warmwasser'!$C$52</definedName>
    <definedName name="Wärmepumpe_Sole_Wasser">'Lüftung Heizung Warmwasser'!$C$51</definedName>
    <definedName name="WP_Luft">'Lüftung Heizung Warmwasser'!$S$52</definedName>
    <definedName name="WP_Sole">'Lüftung Heizung Warmwasser'!$S$51</definedName>
    <definedName name="Zentralgerät_Standard">'Lüftung Heizung Warmwasser'!$S$30</definedName>
    <definedName name="Zentralgerät_verbessert">'Lüftung Heizung Warmwasser'!$S$31</definedName>
  </definedNames>
  <calcPr fullCalcOnLoad="1"/>
</workbook>
</file>

<file path=xl/comments2.xml><?xml version="1.0" encoding="utf-8"?>
<comments xmlns="http://schemas.openxmlformats.org/spreadsheetml/2006/main">
  <authors>
    <author> </author>
  </authors>
  <commentList>
    <comment ref="I9" authorId="0">
      <text>
        <r>
          <rPr>
            <sz val="9"/>
            <rFont val="Arial"/>
            <family val="2"/>
          </rPr>
          <t>Stand : 10/2019 
10 Jahre : 0,75 %
20 Jahre : 0,75 %
30 Jahre : 0,75 %</t>
        </r>
      </text>
    </comment>
    <comment ref="D13" authorId="0">
      <text>
        <r>
          <rPr>
            <sz val="9"/>
            <rFont val="Tahoma"/>
            <family val="2"/>
          </rPr>
          <t>Je nach Ausstattung 
2.000,- bis 3.000,- Euro / m²</t>
        </r>
      </text>
    </comment>
    <comment ref="D15" authorId="0">
      <text>
        <r>
          <rPr>
            <sz val="9"/>
            <rFont val="Tahoma"/>
            <family val="2"/>
          </rPr>
          <t>min. 5 %
üblich 8-10 %
max. 15%</t>
        </r>
      </text>
    </comment>
  </commentList>
</comments>
</file>

<file path=xl/comments4.xml><?xml version="1.0" encoding="utf-8"?>
<comments xmlns="http://schemas.openxmlformats.org/spreadsheetml/2006/main">
  <authors>
    <author>Ambrosius</author>
  </authors>
  <commentList>
    <comment ref="Z53" authorId="0">
      <text>
        <r>
          <rPr>
            <sz val="9"/>
            <rFont val="Tahoma"/>
            <family val="2"/>
          </rPr>
          <t>Inkl. Hilfsstrom für Speicherladepumpe</t>
        </r>
      </text>
    </comment>
    <comment ref="Z54" authorId="0">
      <text>
        <r>
          <rPr>
            <sz val="9"/>
            <rFont val="Tahoma"/>
            <family val="2"/>
          </rPr>
          <t>Inkl. Hilfsstrom für Speicherladepumpe</t>
        </r>
      </text>
    </comment>
    <comment ref="J53" authorId="0">
      <text>
        <r>
          <rPr>
            <sz val="9"/>
            <rFont val="Tahoma"/>
            <family val="2"/>
          </rPr>
          <t>Inkl. Hilfsstrom für Speicherladepumpe</t>
        </r>
      </text>
    </comment>
    <comment ref="J55" authorId="0">
      <text>
        <r>
          <rPr>
            <sz val="9"/>
            <rFont val="Tahoma"/>
            <family val="2"/>
          </rPr>
          <t>Inkl. Grundpreis</t>
        </r>
      </text>
    </comment>
    <comment ref="Z55" authorId="0">
      <text>
        <r>
          <rPr>
            <sz val="9"/>
            <rFont val="Tahoma"/>
            <family val="2"/>
          </rPr>
          <t>Inkl. Grundpreis</t>
        </r>
      </text>
    </comment>
    <comment ref="Y23" authorId="0">
      <text>
        <r>
          <rPr>
            <sz val="9"/>
            <rFont val="Tahoma"/>
            <family val="2"/>
          </rPr>
          <t>Wartung, Reinigung, Filter, usw.,
ohne Energiekosten</t>
        </r>
      </text>
    </comment>
    <comment ref="J90" authorId="0">
      <text>
        <r>
          <rPr>
            <sz val="9"/>
            <rFont val="Tahoma"/>
            <family val="2"/>
          </rPr>
          <t>Tarif :
Mittelwert
Grundpreis bei Haushaltsstrom wird für Wärmeerzeugung nicht berücksichtigt, da ohnehin erforderlich.</t>
        </r>
      </text>
    </comment>
    <comment ref="J51" authorId="0">
      <text>
        <r>
          <rPr>
            <sz val="9"/>
            <rFont val="Tahoma"/>
            <family val="2"/>
          </rPr>
          <t>Inkl. Grundpreis</t>
        </r>
      </text>
    </comment>
    <comment ref="J52" authorId="0">
      <text>
        <r>
          <rPr>
            <sz val="9"/>
            <rFont val="Tahoma"/>
            <family val="2"/>
          </rPr>
          <t>Inkl. Grundpreis</t>
        </r>
      </text>
    </comment>
    <comment ref="F10" authorId="0">
      <text>
        <r>
          <rPr>
            <sz val="9"/>
            <rFont val="Tahoma"/>
            <family val="2"/>
          </rPr>
          <t>min. 20 m²/Person
max. 50 m²/Person</t>
        </r>
      </text>
    </comment>
    <comment ref="J85" authorId="0">
      <text>
        <r>
          <rPr>
            <sz val="9"/>
            <rFont val="Tahoma"/>
            <family val="2"/>
          </rPr>
          <t>Tarif :
Mittelwert</t>
        </r>
      </text>
    </comment>
    <comment ref="J91" authorId="0">
      <text>
        <r>
          <rPr>
            <sz val="9"/>
            <rFont val="Tahoma"/>
            <family val="2"/>
          </rPr>
          <t>Tarif :
Mittelwert</t>
        </r>
      </text>
    </comment>
  </commentList>
</comments>
</file>

<file path=xl/sharedStrings.xml><?xml version="1.0" encoding="utf-8"?>
<sst xmlns="http://schemas.openxmlformats.org/spreadsheetml/2006/main" count="2030" uniqueCount="260">
  <si>
    <t>Differenz</t>
  </si>
  <si>
    <t>Gesamtkosten nach</t>
  </si>
  <si>
    <r>
      <t>Zinskosten gesamt</t>
    </r>
    <r>
      <rPr>
        <b/>
        <vertAlign val="superscript"/>
        <sz val="10"/>
        <rFont val="Arial"/>
        <family val="2"/>
      </rPr>
      <t>6</t>
    </r>
  </si>
  <si>
    <r>
      <t>Energiekosten pro Jahr</t>
    </r>
    <r>
      <rPr>
        <b/>
        <sz val="10"/>
        <rFont val="Arial"/>
        <family val="2"/>
      </rPr>
      <t xml:space="preserve">
</t>
    </r>
    <r>
      <rPr>
        <sz val="10"/>
        <rFont val="Arial"/>
        <family val="2"/>
      </rPr>
      <t>(Mittelwert über Laufzeit)</t>
    </r>
  </si>
  <si>
    <t>Laufzeit Darlehen Hausbank</t>
  </si>
  <si>
    <t>Zinskosten und Tilgung
als feste Rate im Monat</t>
  </si>
  <si>
    <t>Heizwärmebedarf                     pro m² Wfl. im Jahr</t>
  </si>
  <si>
    <t>Die zusätzlichen Aufwendungen für die höheren Baukosten im Passivhaus werden als Immobilienwert angelegt und nicht wie im Standardhaus in der Heizung verbrannt. Das erhöht den Verkehrswert des Gebäudes.</t>
  </si>
  <si>
    <t xml:space="preserve">Natürlich wird durch den geringeren Energieverbrauch auch die Umwelt entlastet. </t>
  </si>
  <si>
    <t>Tilg.-Zuschuss</t>
  </si>
  <si>
    <t xml:space="preserve">                       Laufzeit der Finanzierung :</t>
  </si>
  <si>
    <t>Zinssatz eff. Hausbank %:</t>
  </si>
  <si>
    <t>Laufzeit in Monaten</t>
  </si>
  <si>
    <t>Bauvorhaben:</t>
  </si>
  <si>
    <t>Datum:</t>
  </si>
  <si>
    <t>Summe Baukosten</t>
  </si>
  <si>
    <r>
      <t>C) Wärmedämmung
    Summe Kosten</t>
    </r>
    <r>
      <rPr>
        <b/>
        <vertAlign val="superscript"/>
        <sz val="10"/>
        <rFont val="Arial"/>
        <family val="2"/>
      </rPr>
      <t>4</t>
    </r>
  </si>
  <si>
    <r>
      <t>D) Lüftungsanlage
    Summe Kosten</t>
    </r>
    <r>
      <rPr>
        <b/>
        <vertAlign val="superscript"/>
        <sz val="10"/>
        <rFont val="Arial"/>
        <family val="2"/>
      </rPr>
      <t>5</t>
    </r>
  </si>
  <si>
    <r>
      <t>E) Heizungsanlage
    Summe Kosten</t>
    </r>
    <r>
      <rPr>
        <b/>
        <vertAlign val="superscript"/>
        <sz val="10"/>
        <rFont val="Arial"/>
        <family val="2"/>
      </rPr>
      <t>6</t>
    </r>
  </si>
  <si>
    <r>
      <t>F) Bodenplatte
    Summe Kosten</t>
    </r>
    <r>
      <rPr>
        <b/>
        <vertAlign val="superscript"/>
        <sz val="10"/>
        <rFont val="Arial"/>
        <family val="2"/>
      </rPr>
      <t>7</t>
    </r>
  </si>
  <si>
    <r>
      <t>A) Rohbau
    Summe Kosten</t>
    </r>
    <r>
      <rPr>
        <b/>
        <vertAlign val="superscript"/>
        <sz val="10"/>
        <rFont val="Arial"/>
        <family val="2"/>
      </rPr>
      <t>2</t>
    </r>
    <r>
      <rPr>
        <b/>
        <sz val="10"/>
        <rFont val="Arial"/>
        <family val="2"/>
      </rPr>
      <t xml:space="preserve">            </t>
    </r>
  </si>
  <si>
    <t>Zinssatz</t>
  </si>
  <si>
    <t>Monate</t>
  </si>
  <si>
    <t>Jahre</t>
  </si>
  <si>
    <t>Restschuld</t>
  </si>
  <si>
    <t>Sondertilgung</t>
  </si>
  <si>
    <t>Tilungssatz</t>
  </si>
  <si>
    <t>Januar</t>
  </si>
  <si>
    <t>Februar</t>
  </si>
  <si>
    <t>März</t>
  </si>
  <si>
    <t>April</t>
  </si>
  <si>
    <t>Mai</t>
  </si>
  <si>
    <t>Juni</t>
  </si>
  <si>
    <t>Juli</t>
  </si>
  <si>
    <t>August</t>
  </si>
  <si>
    <t>September</t>
  </si>
  <si>
    <t>Oktober</t>
  </si>
  <si>
    <t>November</t>
  </si>
  <si>
    <t>Dezember</t>
  </si>
  <si>
    <t>10 Jahre</t>
  </si>
  <si>
    <t>Barwert</t>
  </si>
  <si>
    <t>Zins</t>
  </si>
  <si>
    <t>Zukunft</t>
  </si>
  <si>
    <t>KFW-Darlehen</t>
  </si>
  <si>
    <t xml:space="preserve">Rate je Monat </t>
  </si>
  <si>
    <t>Sondertilgung/Jahr</t>
  </si>
  <si>
    <t xml:space="preserve">     Darlehensberechnung ohne Sondertilung</t>
  </si>
  <si>
    <t>ohneSondertilgung</t>
  </si>
  <si>
    <t>x</t>
  </si>
  <si>
    <r>
      <t>B) Fenster und Fassade 
    Summe Kosten</t>
    </r>
    <r>
      <rPr>
        <b/>
        <vertAlign val="superscript"/>
        <sz val="10"/>
        <rFont val="Arial"/>
        <family val="2"/>
      </rPr>
      <t>3</t>
    </r>
  </si>
  <si>
    <t xml:space="preserve"> mit Sondertilgung</t>
  </si>
  <si>
    <t xml:space="preserve">Differenz </t>
  </si>
  <si>
    <t xml:space="preserve">                     Passivhaus</t>
  </si>
  <si>
    <t xml:space="preserve">                      Standardhaus (EnEV)</t>
  </si>
  <si>
    <t>Ihr Neubau</t>
  </si>
  <si>
    <t>Ihr Bauort</t>
  </si>
  <si>
    <t>Bauort:</t>
  </si>
  <si>
    <t>Mehrkosten für Passivhaus:</t>
  </si>
  <si>
    <t>Kostenvergleich: Standardhaus zu Passivhaus</t>
  </si>
  <si>
    <t>Standardhaus</t>
  </si>
  <si>
    <t>Passivhaus</t>
  </si>
  <si>
    <t>Jahr</t>
  </si>
  <si>
    <t>Einsparung</t>
  </si>
  <si>
    <t>Energiekosten</t>
  </si>
  <si>
    <t>Mittelwert-Faktor</t>
  </si>
  <si>
    <t>Preissteigerung im Jahr</t>
  </si>
  <si>
    <t>Zinssatz Hausbank</t>
  </si>
  <si>
    <r>
      <t xml:space="preserve">Energiekosteneinsparung als Sondertilgung </t>
    </r>
    <r>
      <rPr>
        <sz val="10"/>
        <rFont val="Arial"/>
        <family val="2"/>
      </rPr>
      <t>(Mittelwert)</t>
    </r>
  </si>
  <si>
    <r>
      <t xml:space="preserve">Betrachtungszeitraum </t>
    </r>
    <r>
      <rPr>
        <b/>
        <sz val="10"/>
        <rFont val="Arial"/>
        <family val="2"/>
      </rPr>
      <t>:</t>
    </r>
  </si>
  <si>
    <t>Feld in dem Einträge geändert werden können</t>
  </si>
  <si>
    <t>Darlehensberechnung für das Passivhaus mit Sondertilgung</t>
  </si>
  <si>
    <t>Tilgungszuschuss</t>
  </si>
  <si>
    <t>Bei gleicher monatlicher Belastung aus Finanzierungs- und Energiekosten über die Laufzeit der Finanzierung</t>
  </si>
  <si>
    <t>© www.Architekt-A.de</t>
  </si>
  <si>
    <t>Darlehen</t>
  </si>
  <si>
    <t>Energie</t>
  </si>
  <si>
    <t>Gesamt</t>
  </si>
  <si>
    <t>Kfw-Darlehen</t>
  </si>
  <si>
    <t>Darlehen ges.</t>
  </si>
  <si>
    <t>Rate</t>
  </si>
  <si>
    <t>Darlehenberechnung mit Sondertilgung</t>
  </si>
  <si>
    <t>Summe</t>
  </si>
  <si>
    <t>Kreditbetrag</t>
  </si>
  <si>
    <t>Raten</t>
  </si>
  <si>
    <t>Tilgung</t>
  </si>
  <si>
    <t>Kfw-Kredit</t>
  </si>
  <si>
    <t>Sondertilg.</t>
  </si>
  <si>
    <t>Zinskosten</t>
  </si>
  <si>
    <t>Allgemeines</t>
  </si>
  <si>
    <t>Vorteile des Passivhauses, die in der Berechnung keine Berücksichtigung finden.</t>
  </si>
  <si>
    <t>Durch den geringen Energieverbrauch im Passivhaus, wird der Risikofaktor der unvorhersehbaren Energiepreisentwicklung minimiert. Das gibt Sicherheit bei einer langfristigen Planung wie dem Neubau eines Hauses.</t>
  </si>
  <si>
    <t>Das Passivhaus erfüllt bereits heute die Anforderungen an zukünftige Mindeststandards im Bauen. Im Vergleich zum heutigen Standardhaus führt das vermutlich zu Einsparungen von zukünftigen Sanierungsmaßnahmen zur Energieeinsparung.</t>
  </si>
  <si>
    <t>Copyright</t>
  </si>
  <si>
    <t>Autor</t>
  </si>
  <si>
    <t>Feld in dem Einträge geändert werden können :</t>
  </si>
  <si>
    <t>Bedienung</t>
  </si>
  <si>
    <t>Einsparung nach</t>
  </si>
  <si>
    <r>
      <t>1</t>
    </r>
    <r>
      <rPr>
        <b/>
        <sz val="10"/>
        <rFont val="Arial"/>
        <family val="2"/>
      </rPr>
      <t>KfW - Darlehen:</t>
    </r>
  </si>
  <si>
    <r>
      <t>2</t>
    </r>
    <r>
      <rPr>
        <b/>
        <sz val="10"/>
        <rFont val="Arial"/>
        <family val="2"/>
      </rPr>
      <t>Zinssatz eff. KfW %:</t>
    </r>
  </si>
  <si>
    <r>
      <t>Zinssatz</t>
    </r>
    <r>
      <rPr>
        <b/>
        <sz val="9.5"/>
        <rFont val="Arial"/>
        <family val="2"/>
      </rPr>
      <t xml:space="preserve"> KFW-Darlehen</t>
    </r>
    <r>
      <rPr>
        <b/>
        <vertAlign val="superscript"/>
        <sz val="9.5"/>
        <rFont val="Arial"/>
        <family val="2"/>
      </rPr>
      <t>2</t>
    </r>
  </si>
  <si>
    <t>Wohn-/Nutzfläche (Wfl.):</t>
  </si>
  <si>
    <t>Wohn-/Nutzfläche (Wfl.) :</t>
  </si>
  <si>
    <r>
      <t>Zinskosten und Tilgung</t>
    </r>
    <r>
      <rPr>
        <b/>
        <vertAlign val="superscript"/>
        <sz val="11"/>
        <rFont val="Arial"/>
        <family val="2"/>
      </rPr>
      <t>7</t>
    </r>
  </si>
  <si>
    <r>
      <t xml:space="preserve">Reguläre Laufzeit
</t>
    </r>
    <r>
      <rPr>
        <b/>
        <sz val="9"/>
        <rFont val="Arial"/>
        <family val="2"/>
      </rPr>
      <t>in Monaten</t>
    </r>
  </si>
  <si>
    <r>
      <t>Laufzeit mit Sonder
tilgung</t>
    </r>
    <r>
      <rPr>
        <b/>
        <sz val="9"/>
        <rFont val="Arial"/>
        <family val="2"/>
      </rPr>
      <t xml:space="preserve"> i. Monaten</t>
    </r>
  </si>
  <si>
    <t>Vergleich der Finanzierungen</t>
  </si>
  <si>
    <r>
      <t xml:space="preserve">Erläuterungen zum                                                         </t>
    </r>
    <r>
      <rPr>
        <b/>
        <sz val="12"/>
        <rFont val="Arial"/>
        <family val="2"/>
      </rPr>
      <t xml:space="preserve"> Kostenvergleich: Standardhaus zu Passivhaus</t>
    </r>
  </si>
  <si>
    <t>∑ 10</t>
  </si>
  <si>
    <t>∑ 20</t>
  </si>
  <si>
    <t>∑ 30</t>
  </si>
  <si>
    <t>∑ 40</t>
  </si>
  <si>
    <t>∑ 50</t>
  </si>
  <si>
    <t>Vergleich der Energiekosten</t>
  </si>
  <si>
    <t xml:space="preserve">Durch die kontrollierte Be- und Entlüftung ist im ganzen Haus, immer und überall, automatisch genau die gewünschte Menge frischer Luft vorhanden. Ohne ein Fenster öffnen zu müssen, führt das Tag und Nacht zu einem angenehmen Komfortgewinn. </t>
  </si>
  <si>
    <t>Restschuld Kfw-Darlehen nach 10 Jahren</t>
  </si>
  <si>
    <t>Restschuld gesamt nach 10 Jahren</t>
  </si>
  <si>
    <t>Zinsfestschreibung</t>
  </si>
  <si>
    <t>Restwärmeerzeugung</t>
  </si>
  <si>
    <t>Kosten</t>
  </si>
  <si>
    <t>Heizwärmeverteilung</t>
  </si>
  <si>
    <t>über Zuluftleitung</t>
  </si>
  <si>
    <t>Fußbodenerwärmung</t>
  </si>
  <si>
    <t>Wandflächenerwärmung</t>
  </si>
  <si>
    <t>Zentralgerät Standard</t>
  </si>
  <si>
    <t>Zentralgerät verbessert</t>
  </si>
  <si>
    <t>Thermische Solaranlage</t>
  </si>
  <si>
    <t>Warmwasser</t>
  </si>
  <si>
    <t>Heizung</t>
  </si>
  <si>
    <t>Kleine Anlage</t>
  </si>
  <si>
    <t>Große Anlage</t>
  </si>
  <si>
    <t>Heizwert</t>
  </si>
  <si>
    <t>Energiepreis</t>
  </si>
  <si>
    <t>Erdgas H</t>
  </si>
  <si>
    <t>Heizöl EL</t>
  </si>
  <si>
    <t>Stückholz</t>
  </si>
  <si>
    <t>Energieträger</t>
  </si>
  <si>
    <t>Einheit</t>
  </si>
  <si>
    <t>m3</t>
  </si>
  <si>
    <t>l</t>
  </si>
  <si>
    <t>kg</t>
  </si>
  <si>
    <t>kWh</t>
  </si>
  <si>
    <t>Pellets</t>
  </si>
  <si>
    <t>Flüssiggas</t>
  </si>
  <si>
    <t>Solarpumpe</t>
  </si>
  <si>
    <t>Preis-</t>
  </si>
  <si>
    <t>steigerung</t>
  </si>
  <si>
    <t>Grundpreis</t>
  </si>
  <si>
    <t>Lüftung freie Eingabe</t>
  </si>
  <si>
    <t>Solaranlage freie Eingabe</t>
  </si>
  <si>
    <t>Restwärmeerzeugung freie Eingabe</t>
  </si>
  <si>
    <t>Scheitholzofen (direkt u. indirekt)</t>
  </si>
  <si>
    <t>Erdgas</t>
  </si>
  <si>
    <t>Brennstoff/Energieträger</t>
  </si>
  <si>
    <t>Elektro-</t>
  </si>
  <si>
    <t>effizienz</t>
  </si>
  <si>
    <t>Wärmebereit-</t>
  </si>
  <si>
    <t>stellungsgrad</t>
  </si>
  <si>
    <t>dezentrale Einzelgeräte</t>
  </si>
  <si>
    <t>(bitte aktuelle Preise einsetzen)</t>
  </si>
  <si>
    <t>Betrieb</t>
  </si>
  <si>
    <t>Elektr. Strom</t>
  </si>
  <si>
    <t>Umwälzpumpe</t>
  </si>
  <si>
    <t>[ €/E ]</t>
  </si>
  <si>
    <t>[ kWh/E ]</t>
  </si>
  <si>
    <t>[ %/a ]</t>
  </si>
  <si>
    <t>[ €/a ]</t>
  </si>
  <si>
    <t>[ € ]</t>
  </si>
  <si>
    <t>[ E ]</t>
  </si>
  <si>
    <t>aktueller</t>
  </si>
  <si>
    <t>Anzahl der Personen</t>
  </si>
  <si>
    <t>Luftwechsel 0,4 1/h</t>
  </si>
  <si>
    <t>Leistungsauf-</t>
  </si>
  <si>
    <t>nahme [ W ]</t>
  </si>
  <si>
    <t>Kollektor-</t>
  </si>
  <si>
    <t>fläche</t>
  </si>
  <si>
    <t>Pumpenlaufzeit 1800 h/a</t>
  </si>
  <si>
    <t>Filter</t>
  </si>
  <si>
    <t>Wohnfläche / Energiebezugsfläche</t>
  </si>
  <si>
    <r>
      <t>Jahresheizwärmebedarf  Q</t>
    </r>
    <r>
      <rPr>
        <b/>
        <vertAlign val="subscript"/>
        <sz val="10"/>
        <rFont val="Arial"/>
        <family val="2"/>
      </rPr>
      <t>H</t>
    </r>
  </si>
  <si>
    <r>
      <t>Brauchwassererwärmung  Q</t>
    </r>
    <r>
      <rPr>
        <b/>
        <vertAlign val="subscript"/>
        <sz val="10"/>
        <rFont val="Arial"/>
        <family val="2"/>
      </rPr>
      <t>TW</t>
    </r>
  </si>
  <si>
    <t>EnEV 12,5 kWh/(m²a)</t>
  </si>
  <si>
    <t>anteilige Wärmeerzeugung</t>
  </si>
  <si>
    <t>Wartung</t>
  </si>
  <si>
    <t>WW</t>
  </si>
  <si>
    <t>HZG</t>
  </si>
  <si>
    <t>Restwärme</t>
  </si>
  <si>
    <t>Pumpenlaufzeit 2400 h/a</t>
  </si>
  <si>
    <t>Kleinstwärmepumpe Sole/Wasser</t>
  </si>
  <si>
    <t>Kleinstwärmepumpe Abluft/Wasser</t>
  </si>
  <si>
    <t>Heizwärmeverteilung freie Eingabe</t>
  </si>
  <si>
    <t>Brennwerttherme Erdgas</t>
  </si>
  <si>
    <t>Brennwerttherme Flüssiggas</t>
  </si>
  <si>
    <t>[ m2 ]</t>
  </si>
  <si>
    <t>[ % ]</t>
  </si>
  <si>
    <t>[ Wh/m3 ]</t>
  </si>
  <si>
    <t>Brauchwassererwärmung</t>
  </si>
  <si>
    <r>
      <t>Energiebedarf   Q</t>
    </r>
    <r>
      <rPr>
        <vertAlign val="subscript"/>
        <sz val="10"/>
        <rFont val="Arial"/>
        <family val="2"/>
      </rPr>
      <t>TW</t>
    </r>
  </si>
  <si>
    <t>Heizkörper mit Leitungsnetz</t>
  </si>
  <si>
    <t>PHPP 25 Liter (60°C)/Pers/Tag</t>
  </si>
  <si>
    <t>Brennwerttherme Heizöl</t>
  </si>
  <si>
    <t>Heizöl</t>
  </si>
  <si>
    <t>Wärmepumpe Sole/Wasser</t>
  </si>
  <si>
    <t>Wärmepumpe Abluft/Wasser</t>
  </si>
  <si>
    <t>Fensterlüftung manuell</t>
  </si>
  <si>
    <t>über Zuluftleitung (nicht möglich)</t>
  </si>
  <si>
    <t>Pumpenlaufzeit 3600 h/a</t>
  </si>
  <si>
    <t>Nutzungsgrad</t>
  </si>
  <si>
    <t>Jahres-</t>
  </si>
  <si>
    <t>Feld in dem Einträge geändert werden können   .</t>
  </si>
  <si>
    <t>Haustechnik allgemeine Daten</t>
  </si>
  <si>
    <t>Investition</t>
  </si>
  <si>
    <t>Kontrollierte Be- und Entlüftung</t>
  </si>
  <si>
    <t>für 10 Jahre</t>
  </si>
  <si>
    <t>für 20 Jahre</t>
  </si>
  <si>
    <t>für 30 Jahre</t>
  </si>
  <si>
    <t>für 40 Jahre</t>
  </si>
  <si>
    <t>für 50 Jahre</t>
  </si>
  <si>
    <r>
      <t>5</t>
    </r>
    <r>
      <rPr>
        <b/>
        <sz val="10"/>
        <rFont val="Arial"/>
        <family val="2"/>
      </rPr>
      <t>Mittelwertfaktor für Laufzeit:</t>
    </r>
  </si>
  <si>
    <t>Pelletofen (direkt u. indirekt)</t>
  </si>
  <si>
    <t>Pelletkessel (indirekt)</t>
  </si>
  <si>
    <t>(ohne Energiekosten)</t>
  </si>
  <si>
    <t>Preissteigerung der Betriebskosten ohne Energie</t>
  </si>
  <si>
    <t>Vergleich der sonstigen Betriebskosten</t>
  </si>
  <si>
    <t>Betriebskosten</t>
  </si>
  <si>
    <t>Pellet</t>
  </si>
  <si>
    <t>Holz</t>
  </si>
  <si>
    <t>Strom</t>
  </si>
  <si>
    <r>
      <t>4</t>
    </r>
    <r>
      <rPr>
        <b/>
        <sz val="10"/>
        <rFont val="Arial"/>
        <family val="2"/>
      </rPr>
      <t>Energiepreissteigerung im Jahr:</t>
    </r>
  </si>
  <si>
    <t>Wandflächenheizung</t>
  </si>
  <si>
    <t>Fußbodenheizung</t>
  </si>
  <si>
    <t>Standardhaus (EnEV)</t>
  </si>
  <si>
    <t>Lüftung Heizung Warmwasser</t>
  </si>
  <si>
    <r>
      <t>Baukosten</t>
    </r>
    <r>
      <rPr>
        <sz val="10"/>
        <rFont val="Arial"/>
        <family val="2"/>
      </rPr>
      <t xml:space="preserve"> (ohne Lüftg Hzg Ww)</t>
    </r>
  </si>
  <si>
    <r>
      <t xml:space="preserve">Baukosten pro m² Wfl.: </t>
    </r>
    <r>
      <rPr>
        <sz val="9"/>
        <rFont val="Arial"/>
        <family val="2"/>
      </rPr>
      <t>Standardhaus ohne Lüftg Hzg Ww</t>
    </r>
  </si>
  <si>
    <r>
      <t>1</t>
    </r>
    <r>
      <rPr>
        <b/>
        <sz val="9"/>
        <rFont val="Arial"/>
        <family val="2"/>
      </rPr>
      <t xml:space="preserve"> KFW - Darlehen:</t>
    </r>
    <r>
      <rPr>
        <sz val="9"/>
        <rFont val="Arial"/>
        <family val="2"/>
      </rPr>
      <t xml:space="preserve"> Förderung für Passivhäuser aus dem KfW-Programm 153 "Energieeffizient Bauen" für die ersten 10 Jahre.
   Max Förderung pro Wohneinheit 50.000 €. Zusätzlich wird nach Baufertigstellung ein Tilgungszuschuss von 10% gezahlt.
</t>
    </r>
    <r>
      <rPr>
        <vertAlign val="superscript"/>
        <sz val="9"/>
        <rFont val="Arial"/>
        <family val="2"/>
      </rPr>
      <t>2</t>
    </r>
    <r>
      <rPr>
        <sz val="9"/>
        <rFont val="Arial"/>
        <family val="2"/>
      </rPr>
      <t xml:space="preserve"> </t>
    </r>
    <r>
      <rPr>
        <b/>
        <sz val="9"/>
        <rFont val="Arial"/>
        <family val="2"/>
      </rPr>
      <t>Zinssatz KFW - Darlehen:</t>
    </r>
    <r>
      <rPr>
        <sz val="9"/>
        <rFont val="Arial"/>
        <family val="2"/>
      </rPr>
      <t xml:space="preserve"> Abbängig von Laufzeit und Förderprogramm. Aktueller Wert auf www.KfW.de
</t>
    </r>
    <r>
      <rPr>
        <vertAlign val="superscript"/>
        <sz val="9"/>
        <rFont val="Arial"/>
        <family val="2"/>
      </rPr>
      <t>3</t>
    </r>
    <r>
      <rPr>
        <b/>
        <sz val="9"/>
        <rFont val="Arial"/>
        <family val="2"/>
      </rPr>
      <t xml:space="preserve"> Betriebskosten:</t>
    </r>
    <r>
      <rPr>
        <sz val="9"/>
        <rFont val="Arial"/>
        <family val="2"/>
      </rPr>
      <t xml:space="preserve"> Kosten für Wartung, Reinigung, Filter, usw. (ohne Energie) der Lüftung, Heizung u. Warmwasserbereitung
</t>
    </r>
    <r>
      <rPr>
        <vertAlign val="superscript"/>
        <sz val="9"/>
        <rFont val="Arial"/>
        <family val="2"/>
      </rPr>
      <t>4</t>
    </r>
    <r>
      <rPr>
        <sz val="9"/>
        <rFont val="Arial"/>
        <family val="2"/>
      </rPr>
      <t xml:space="preserve"> </t>
    </r>
    <r>
      <rPr>
        <b/>
        <sz val="9"/>
        <rFont val="Arial"/>
        <family val="2"/>
      </rPr>
      <t>Energiepreissteigerung im Jahr:</t>
    </r>
    <r>
      <rPr>
        <sz val="9"/>
        <rFont val="Arial"/>
        <family val="2"/>
      </rPr>
      <t xml:space="preserve"> Als Anhalt kann der Mittelwert über die letzten 50 Jahre von ca. 7 % dienen
</t>
    </r>
    <r>
      <rPr>
        <vertAlign val="superscript"/>
        <sz val="9"/>
        <rFont val="Arial"/>
        <family val="2"/>
      </rPr>
      <t>5</t>
    </r>
    <r>
      <rPr>
        <sz val="9"/>
        <rFont val="Arial"/>
        <family val="2"/>
      </rPr>
      <t xml:space="preserve"> </t>
    </r>
    <r>
      <rPr>
        <b/>
        <sz val="9"/>
        <rFont val="Arial"/>
        <family val="2"/>
      </rPr>
      <t>Mittelwertfaktor über Laufzeit</t>
    </r>
    <r>
      <rPr>
        <sz val="9"/>
        <rFont val="Arial"/>
        <family val="2"/>
      </rPr>
      <t xml:space="preserve">: Faktor zur Berechnung der zukünftigen Energiekosten
</t>
    </r>
    <r>
      <rPr>
        <vertAlign val="superscript"/>
        <sz val="9"/>
        <rFont val="Arial"/>
        <family val="2"/>
      </rPr>
      <t>6</t>
    </r>
    <r>
      <rPr>
        <b/>
        <vertAlign val="superscript"/>
        <sz val="9"/>
        <rFont val="Arial"/>
        <family val="2"/>
      </rPr>
      <t xml:space="preserve"> </t>
    </r>
    <r>
      <rPr>
        <b/>
        <sz val="9"/>
        <rFont val="Arial"/>
        <family val="2"/>
      </rPr>
      <t xml:space="preserve">Zinskosten gesamt: </t>
    </r>
    <r>
      <rPr>
        <sz val="9"/>
        <rFont val="Arial"/>
        <family val="2"/>
      </rPr>
      <t xml:space="preserve">Die Summe der Zinsen über die Laufzeit; bei der Passivbauweise wurde die jährliche 
    Energiekosteneinsparung als Sondertilung auf das Darlehen berücksichtigt.
</t>
    </r>
    <r>
      <rPr>
        <b/>
        <vertAlign val="superscript"/>
        <sz val="9"/>
        <rFont val="Arial"/>
        <family val="2"/>
      </rPr>
      <t xml:space="preserve">7 </t>
    </r>
    <r>
      <rPr>
        <b/>
        <sz val="9"/>
        <rFont val="Arial"/>
        <family val="2"/>
      </rPr>
      <t>Zinskosten und Tilgung gesamt:</t>
    </r>
    <r>
      <rPr>
        <sz val="9"/>
        <rFont val="Arial"/>
        <family val="2"/>
      </rPr>
      <t xml:space="preserve"> Summe der Zinskosten + Tilgung/Baukosten inkl. Sondertilgung über die gesamte Laufzeit                                                                                                    </t>
    </r>
  </si>
  <si>
    <r>
      <t>Baukosten pro m² Wfl.:</t>
    </r>
    <r>
      <rPr>
        <b/>
        <sz val="9"/>
        <rFont val="Arial"/>
        <family val="2"/>
      </rPr>
      <t xml:space="preserve"> </t>
    </r>
    <r>
      <rPr>
        <sz val="9"/>
        <rFont val="Arial"/>
        <family val="2"/>
      </rPr>
      <t>Standardhaus ohne Lüftg Hzg Ww</t>
    </r>
  </si>
  <si>
    <t xml:space="preserve"> </t>
  </si>
  <si>
    <t>Laufzeit 185 Tage im Jahr</t>
  </si>
  <si>
    <t>kWh/m²a</t>
  </si>
  <si>
    <t>Strom/Haushalt</t>
  </si>
  <si>
    <t>Strom/WP</t>
  </si>
  <si>
    <t>Strom-WP</t>
  </si>
  <si>
    <t>Wärmeerzeugung</t>
  </si>
  <si>
    <t>Wärmeerzeugung freie Eingabe</t>
  </si>
  <si>
    <t>Energiekosten nach</t>
  </si>
  <si>
    <t>inkl. Lüftung Heizung Warmw.</t>
  </si>
  <si>
    <r>
      <t>Zinskosten und Tilgung</t>
    </r>
    <r>
      <rPr>
        <b/>
        <vertAlign val="superscript"/>
        <sz val="10"/>
        <rFont val="Arial"/>
        <family val="2"/>
      </rPr>
      <t>3</t>
    </r>
  </si>
  <si>
    <t>Sondertigung</t>
  </si>
  <si>
    <t>Berechnung des KFW-Darlehens für das Passivhaus</t>
  </si>
  <si>
    <r>
      <t>Betriebskosten nach</t>
    </r>
    <r>
      <rPr>
        <b/>
        <vertAlign val="superscript"/>
        <sz val="10"/>
        <rFont val="Arial"/>
        <family val="2"/>
      </rPr>
      <t>3</t>
    </r>
  </si>
  <si>
    <t>Lüftung, Heizung u. Warmwasser im Standardhaus</t>
  </si>
  <si>
    <t>Lüftung, Heizung u. Warmwasser im Passivhaus</t>
  </si>
  <si>
    <t>Hinweis</t>
  </si>
  <si>
    <t>Trotz sorgfältiger Prüfung, wird für die Richtigkeit der angegebenen Werte und Berechnungen keine Gewähr übernommen. Eine fachliche Kostenschätzung oder bauphysikalische Berechnungen kann diese Datei nicht ersetzen. Ihre Anmerkungen und Verbesserungsvorschläge sind willkommen.</t>
  </si>
  <si>
    <t>Diese Excel Datei darf für private Zwecke kostenlos benutzt und weitergegeben werden. Eine Veröffentlichung in jeglicher Form bedarf der Zustimmung des Autors. Veränderungen an dieser Datei sind nicht zulässig und verletzen das Urheberrecht des Autors.</t>
  </si>
  <si>
    <t>Zinsbindung KFW-Darlehen</t>
  </si>
  <si>
    <t>Energiepreise vom August 2012</t>
  </si>
  <si>
    <r>
      <t>1</t>
    </r>
    <r>
      <rPr>
        <b/>
        <sz val="9"/>
        <rFont val="Arial"/>
        <family val="2"/>
      </rPr>
      <t xml:space="preserve"> KFW-Darlehen:</t>
    </r>
    <r>
      <rPr>
        <sz val="9"/>
        <rFont val="Arial"/>
        <family val="2"/>
      </rPr>
      <t xml:space="preserve"> Förderung für Passivhäuser aus dem KfW-Programm "Energieeffizient Bauen" für 10 Jahre. Max Förderung pro Wohneinheit 100.000 €. Zusätzlich wird nach Baufertigstellung ein Tilgungszuschuss von 10% gezahlt.
2 </t>
    </r>
    <r>
      <rPr>
        <b/>
        <sz val="9"/>
        <rFont val="Arial"/>
        <family val="2"/>
      </rPr>
      <t>Zinssatz KFW-Darlehen:</t>
    </r>
    <r>
      <rPr>
        <sz val="9"/>
        <rFont val="Arial"/>
        <family val="2"/>
      </rPr>
      <t xml:space="preserve"> Abbängig von Laufzeit und Förderprogramm. Aktueller Wert auf www.KfW.de
3</t>
    </r>
    <r>
      <rPr>
        <b/>
        <sz val="9"/>
        <rFont val="Arial"/>
        <family val="2"/>
      </rPr>
      <t xml:space="preserve"> Zinskosten und Tilgung gesamt</t>
    </r>
    <r>
      <rPr>
        <sz val="9"/>
        <rFont val="Arial"/>
        <family val="2"/>
      </rPr>
      <t xml:space="preserve">: Summe der Zinskosten + Tilgung inkl. Sondertilgung über die gesamte Laufzeit 
4 </t>
    </r>
    <r>
      <rPr>
        <b/>
        <sz val="9"/>
        <rFont val="Arial"/>
        <family val="2"/>
      </rPr>
      <t>Energiepreissteigerung im Jahr:</t>
    </r>
    <r>
      <rPr>
        <sz val="9"/>
        <rFont val="Arial"/>
        <family val="2"/>
      </rPr>
      <t xml:space="preserve"> Als Anhalt kann der Mittelwert über die letzten 50 Jahre von ca. 7 % dienen
5 </t>
    </r>
    <r>
      <rPr>
        <b/>
        <sz val="9"/>
        <rFont val="Arial"/>
        <family val="2"/>
      </rPr>
      <t xml:space="preserve">Mittelwertfaktor über Laufzeit: </t>
    </r>
    <r>
      <rPr>
        <sz val="9"/>
        <rFont val="Arial"/>
        <family val="2"/>
      </rPr>
      <t xml:space="preserve">Faktor zur Berechnung der zukünftigen Energiekosten                                                                                                                                                                               </t>
    </r>
  </si>
  <si>
    <t>Im Blatt Eingabe-Ergebnis können Sie einige Ausgangswerte durch überschreiben, bzw. Auswahl nach Ihren Wünschen ändern. Hier finden Sie auch die wichtigen Ergebnisse als Darstellung in Diagrammen. Im Blatt Detailergebnis sind weitere Ergebnisse als Zahlenwerte angegeben. Die Art der Lüftung und Wärmeerzeugung können Sie im Blatt Lüftung/Heizung/ Warmwasser für das Standardhaus und das Passivhaus getrennt auswählen. Hier können auch eigene Werte eingegeben werden.</t>
  </si>
  <si>
    <t>Diese Berechnung ist so angelegt, dass für beide Häuser gleichhohe jährliche Gesamtkosten aus Finanzierung, Energieverbrauch und Betrieb der Haustechnik entstehen. Die monatlichen Raten für die Rückzahlung der Darlehenssummen sind gleich hoch. Die jährliche Einsparung der Energiekosten im Passivhaus wird als Sondertilgung zur Abzahlung des Darlehens (Hausbank) eingesetzt. So ergeben sich für beide Häuser die gleichen jährlichen Gesamtkosten. Unterschiede entstehen erst gegen Ende der Finanzierungsdauer, durch unterschiedlich lange Laufzeiten und natürlich nach Abzahlung der Darlehen aufgrund unterschiedlich hoher Energiekosten.</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</si>
</sst>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0_ ;\-#,##0.00\ "/>
    <numFmt numFmtId="166" formatCode="d/\ mmm/\ yyyy"/>
    <numFmt numFmtId="167" formatCode="0\ &quot;m²&quot;"/>
    <numFmt numFmtId="168" formatCode="0\ &quot;€/m²&quot;"/>
    <numFmt numFmtId="169" formatCode="0.00000"/>
    <numFmt numFmtId="170" formatCode="0.0000"/>
    <numFmt numFmtId="171" formatCode="#,##0.0000_ ;\-#,##0.0000\ "/>
    <numFmt numFmtId="172" formatCode="0\ &quot;Jahre&quot;"/>
    <numFmt numFmtId="173" formatCode="0.0\ &quot;kWh/m²a&quot;"/>
    <numFmt numFmtId="174" formatCode="0.0\ &quot;Jahre&quot;"/>
    <numFmt numFmtId="175" formatCode="0.0\ &quot;m²&quot;"/>
    <numFmt numFmtId="176" formatCode="0\ &quot;kWh/a&quot;"/>
    <numFmt numFmtId="177" formatCode="0.00\ &quot;€/a&quot;"/>
    <numFmt numFmtId="178" formatCode="#,##0.0000"/>
    <numFmt numFmtId="179" formatCode="0.0%"/>
    <numFmt numFmtId="180" formatCode="0\ &quot;Jahren&quot;"/>
    <numFmt numFmtId="181" formatCode="&quot;€&quot;#,##0.00_);[Red]\(&quot;€&quot;#,##0.00\)"/>
  </numFmts>
  <fonts count="76">
    <font>
      <sz val="10"/>
      <name val="Arial"/>
      <family val="0"/>
    </font>
    <font>
      <sz val="11"/>
      <color indexed="8"/>
      <name val="Calibri"/>
      <family val="2"/>
    </font>
    <font>
      <b/>
      <sz val="10"/>
      <name val="Arial"/>
      <family val="2"/>
    </font>
    <font>
      <b/>
      <sz val="11"/>
      <name val="Arial"/>
      <family val="2"/>
    </font>
    <font>
      <b/>
      <vertAlign val="superscript"/>
      <sz val="10"/>
      <name val="Arial"/>
      <family val="2"/>
    </font>
    <font>
      <b/>
      <sz val="9.5"/>
      <name val="Arial"/>
      <family val="2"/>
    </font>
    <font>
      <b/>
      <sz val="14"/>
      <name val="Arial"/>
      <family val="2"/>
    </font>
    <font>
      <b/>
      <sz val="14"/>
      <color indexed="10"/>
      <name val="Arial"/>
      <family val="2"/>
    </font>
    <font>
      <b/>
      <sz val="9"/>
      <name val="Arial"/>
      <family val="2"/>
    </font>
    <font>
      <sz val="14"/>
      <name val="Arial"/>
      <family val="2"/>
    </font>
    <font>
      <b/>
      <sz val="12"/>
      <name val="Arial"/>
      <family val="2"/>
    </font>
    <font>
      <b/>
      <vertAlign val="superscript"/>
      <sz val="9.5"/>
      <name val="Arial"/>
      <family val="2"/>
    </font>
    <font>
      <sz val="10"/>
      <color indexed="22"/>
      <name val="Arial"/>
      <family val="2"/>
    </font>
    <font>
      <sz val="10"/>
      <color indexed="9"/>
      <name val="Arial"/>
      <family val="2"/>
    </font>
    <font>
      <b/>
      <vertAlign val="superscript"/>
      <sz val="9"/>
      <name val="Arial"/>
      <family val="2"/>
    </font>
    <font>
      <sz val="9"/>
      <name val="Arial"/>
      <family val="2"/>
    </font>
    <font>
      <b/>
      <sz val="10"/>
      <color indexed="9"/>
      <name val="Arial"/>
      <family val="2"/>
    </font>
    <font>
      <u val="single"/>
      <sz val="10"/>
      <color indexed="12"/>
      <name val="Arial"/>
      <family val="2"/>
    </font>
    <font>
      <vertAlign val="superscript"/>
      <sz val="9"/>
      <name val="Arial"/>
      <family val="2"/>
    </font>
    <font>
      <sz val="11"/>
      <name val="Arial"/>
      <family val="2"/>
    </font>
    <font>
      <sz val="9"/>
      <name val="Tahoma"/>
      <family val="2"/>
    </font>
    <font>
      <b/>
      <sz val="10"/>
      <color indexed="10"/>
      <name val="Arial"/>
      <family val="2"/>
    </font>
    <font>
      <b/>
      <sz val="10"/>
      <color indexed="22"/>
      <name val="Arial"/>
      <family val="2"/>
    </font>
    <font>
      <b/>
      <sz val="14"/>
      <color indexed="57"/>
      <name val="Arial"/>
      <family val="2"/>
    </font>
    <font>
      <sz val="9"/>
      <color indexed="9"/>
      <name val="Arial"/>
      <family val="2"/>
    </font>
    <font>
      <b/>
      <vertAlign val="superscript"/>
      <sz val="11"/>
      <name val="Arial"/>
      <family val="2"/>
    </font>
    <font>
      <sz val="10"/>
      <color indexed="57"/>
      <name val="Arial"/>
      <family val="2"/>
    </font>
    <font>
      <b/>
      <vertAlign val="subscript"/>
      <sz val="10"/>
      <name val="Arial"/>
      <family val="2"/>
    </font>
    <font>
      <vertAlign val="subscript"/>
      <sz val="10"/>
      <name val="Arial"/>
      <family val="2"/>
    </font>
    <font>
      <b/>
      <sz val="11"/>
      <color indexed="57"/>
      <name val="Arial"/>
      <family val="2"/>
    </font>
    <font>
      <b/>
      <sz val="11"/>
      <color indexed="10"/>
      <name val="Arial"/>
      <family val="2"/>
    </font>
    <font>
      <sz val="8.75"/>
      <color indexed="8"/>
      <name val="Arial"/>
      <family val="0"/>
    </font>
    <font>
      <sz val="8.05"/>
      <color indexed="8"/>
      <name val="Arial"/>
      <family val="0"/>
    </font>
    <font>
      <sz val="10.25"/>
      <color indexed="8"/>
      <name val="Arial"/>
      <family val="0"/>
    </font>
    <font>
      <sz val="9"/>
      <color indexed="10"/>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b/>
      <sz val="9.75"/>
      <color indexed="8"/>
      <name val="Arial"/>
      <family val="0"/>
    </font>
    <font>
      <sz val="10"/>
      <color indexed="8"/>
      <name val="Arial"/>
      <family val="0"/>
    </font>
    <font>
      <sz val="9.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FF0000"/>
      <name val="Arial"/>
      <family val="2"/>
    </font>
    <font>
      <sz val="10"/>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18"/>
        <bgColor indexed="64"/>
      </patternFill>
    </fill>
    <fill>
      <patternFill patternType="solid">
        <fgColor indexed="44"/>
        <bgColor indexed="64"/>
      </patternFill>
    </fill>
    <fill>
      <patternFill patternType="solid">
        <fgColor indexed="47"/>
        <bgColor indexed="64"/>
      </patternFill>
    </fill>
    <fill>
      <patternFill patternType="solid">
        <fgColor theme="0" tint="-0.24997000396251678"/>
        <bgColor indexed="64"/>
      </patternFill>
    </fill>
  </fills>
  <borders count="6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top/>
      <bottom/>
    </border>
    <border>
      <left/>
      <right/>
      <top style="medium"/>
      <bottom/>
    </border>
    <border>
      <left style="thin"/>
      <right style="thin"/>
      <top style="thin"/>
      <bottom style="thin"/>
    </border>
    <border>
      <left/>
      <right/>
      <top style="medium"/>
      <bottom style="medium"/>
    </border>
    <border>
      <left style="medium"/>
      <right style="medium"/>
      <top/>
      <bottom/>
    </border>
    <border>
      <left/>
      <right/>
      <top style="thin"/>
      <bottom style="thin"/>
    </border>
    <border>
      <left style="thin"/>
      <right style="thin"/>
      <top/>
      <bottom/>
    </border>
    <border>
      <left style="medium"/>
      <right style="medium"/>
      <top style="medium"/>
      <bottom/>
    </border>
    <border>
      <left style="thin"/>
      <right/>
      <top/>
      <bottom/>
    </border>
    <border>
      <left style="thin"/>
      <right/>
      <top/>
      <bottom style="thin"/>
    </border>
    <border>
      <left/>
      <right/>
      <top/>
      <bottom style="thin"/>
    </border>
    <border>
      <left style="medium"/>
      <right style="medium"/>
      <top style="medium"/>
      <bottom style="medium"/>
    </border>
    <border>
      <left style="thin"/>
      <right style="thin"/>
      <top style="thin"/>
      <bottom style="medium"/>
    </border>
    <border>
      <left/>
      <right style="medium"/>
      <top/>
      <bottom/>
    </border>
    <border>
      <left style="thin"/>
      <right style="thin"/>
      <top/>
      <bottom style="thin"/>
    </border>
    <border>
      <left style="thin"/>
      <right style="thin"/>
      <top style="medium"/>
      <bottom style="thin"/>
    </border>
    <border>
      <left/>
      <right/>
      <top style="thin"/>
      <bottom/>
    </border>
    <border>
      <left style="medium"/>
      <right/>
      <top style="medium"/>
      <bottom style="medium"/>
    </border>
    <border>
      <left/>
      <right style="medium"/>
      <top style="medium"/>
      <bottom style="medium"/>
    </border>
    <border>
      <left/>
      <right style="thin"/>
      <top/>
      <bottom/>
    </border>
    <border>
      <left style="thin"/>
      <right/>
      <top style="thin"/>
      <bottom style="thin"/>
    </border>
    <border>
      <left/>
      <right style="thin"/>
      <top style="thin"/>
      <bottom style="thin"/>
    </border>
    <border>
      <left style="medium"/>
      <right/>
      <top style="medium"/>
      <bottom/>
    </border>
    <border>
      <left/>
      <right style="medium"/>
      <top style="thin"/>
      <bottom style="thin"/>
    </border>
    <border>
      <left style="medium"/>
      <right/>
      <top/>
      <bottom style="medium"/>
    </border>
    <border>
      <left style="thin"/>
      <right/>
      <top/>
      <bottom style="medium"/>
    </border>
    <border>
      <left/>
      <right/>
      <top/>
      <bottom style="medium"/>
    </border>
    <border>
      <left/>
      <right style="medium"/>
      <top/>
      <bottom style="medium"/>
    </border>
    <border>
      <left style="medium"/>
      <right style="thin"/>
      <top style="thin"/>
      <bottom style="thin"/>
    </border>
    <border>
      <left style="medium"/>
      <right/>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right style="thin"/>
      <top/>
      <bottom style="thin"/>
    </border>
    <border>
      <left style="medium"/>
      <right style="thin"/>
      <top style="medium"/>
      <bottom style="medium"/>
    </border>
    <border>
      <left/>
      <right style="thin"/>
      <top style="medium"/>
      <bottom style="medium"/>
    </border>
    <border>
      <left style="thin"/>
      <right style="thin"/>
      <top style="thin"/>
      <bottom/>
    </border>
    <border>
      <left style="thin"/>
      <right/>
      <top style="thin"/>
      <bottom/>
    </border>
    <border>
      <left/>
      <right style="thin"/>
      <top style="thin"/>
      <bottom/>
    </border>
    <border>
      <left style="thin"/>
      <right/>
      <top style="thin"/>
      <bottom style="medium"/>
    </border>
    <border>
      <left style="thin"/>
      <right/>
      <top style="medium"/>
      <bottom style="medium"/>
    </border>
    <border>
      <left style="thin"/>
      <right/>
      <top style="medium"/>
      <bottom/>
    </border>
    <border>
      <left/>
      <right style="medium"/>
      <top style="medium"/>
      <bottom style="thin"/>
    </border>
    <border>
      <left/>
      <right style="thin"/>
      <top style="medium"/>
      <bottom style="thin"/>
    </border>
    <border>
      <left style="thin"/>
      <right style="thin"/>
      <top style="medium"/>
      <bottom/>
    </border>
    <border>
      <left style="thin"/>
      <right style="thin"/>
      <top/>
      <bottom style="medium"/>
    </border>
    <border>
      <left style="thin"/>
      <right style="medium"/>
      <top/>
      <bottom style="medium"/>
    </border>
    <border>
      <left/>
      <right style="thin"/>
      <top style="thin"/>
      <bottom style="medium"/>
    </border>
    <border>
      <left/>
      <right style="thin"/>
      <top/>
      <bottom style="medium"/>
    </border>
    <border>
      <left/>
      <right style="thin"/>
      <top style="medium"/>
      <bottom/>
    </border>
    <border>
      <left/>
      <right style="medium"/>
      <top style="medium"/>
      <bottom/>
    </border>
    <border>
      <left style="medium"/>
      <right/>
      <top style="medium"/>
      <bottom style="thin"/>
    </border>
    <border>
      <left/>
      <right/>
      <top style="medium"/>
      <bottom style="thin"/>
    </border>
    <border>
      <left style="thin"/>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6" borderId="2" applyNumberFormat="0" applyAlignment="0" applyProtection="0"/>
    <xf numFmtId="41" fontId="0" fillId="0" borderId="0" applyFont="0" applyFill="0" applyBorder="0" applyAlignment="0" applyProtection="0"/>
    <xf numFmtId="0" fontId="60" fillId="27" borderId="2" applyNumberFormat="0" applyAlignment="0" applyProtection="0"/>
    <xf numFmtId="0" fontId="61" fillId="0" borderId="3" applyNumberFormat="0" applyFill="0" applyAlignment="0" applyProtection="0"/>
    <xf numFmtId="0" fontId="62" fillId="0" borderId="0" applyNumberFormat="0" applyFill="0" applyBorder="0" applyAlignment="0" applyProtection="0"/>
    <xf numFmtId="44" fontId="0" fillId="0" borderId="0" applyFont="0" applyFill="0" applyBorder="0" applyAlignment="0" applyProtection="0"/>
    <xf numFmtId="0" fontId="63" fillId="28"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0" fontId="6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5" fillId="31" borderId="0" applyNumberFormat="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32" borderId="9" applyNumberFormat="0" applyAlignment="0" applyProtection="0"/>
  </cellStyleXfs>
  <cellXfs count="628">
    <xf numFmtId="0" fontId="0" fillId="0" borderId="0" xfId="0" applyAlignment="1">
      <alignment/>
    </xf>
    <xf numFmtId="0" fontId="2"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8" fontId="0" fillId="0" borderId="0" xfId="0" applyNumberFormat="1" applyAlignment="1">
      <alignment/>
    </xf>
    <xf numFmtId="0" fontId="0" fillId="0" borderId="0" xfId="0" applyFill="1" applyAlignment="1">
      <alignment/>
    </xf>
    <xf numFmtId="44" fontId="0" fillId="0" borderId="0" xfId="0" applyNumberFormat="1" applyAlignment="1">
      <alignment/>
    </xf>
    <xf numFmtId="0" fontId="2" fillId="0" borderId="12" xfId="0" applyFont="1" applyBorder="1" applyAlignment="1">
      <alignment/>
    </xf>
    <xf numFmtId="8" fontId="2" fillId="0" borderId="12" xfId="0" applyNumberFormat="1" applyFont="1" applyBorder="1" applyAlignment="1">
      <alignment/>
    </xf>
    <xf numFmtId="44" fontId="2" fillId="0" borderId="12" xfId="0" applyNumberFormat="1" applyFont="1" applyBorder="1" applyAlignment="1">
      <alignment/>
    </xf>
    <xf numFmtId="8" fontId="2" fillId="0" borderId="12" xfId="0" applyNumberFormat="1" applyFont="1" applyFill="1" applyBorder="1" applyAlignment="1">
      <alignment/>
    </xf>
    <xf numFmtId="0" fontId="0" fillId="33" borderId="0" xfId="0" applyFill="1" applyAlignment="1">
      <alignment/>
    </xf>
    <xf numFmtId="0" fontId="12" fillId="33" borderId="0" xfId="0" applyFont="1" applyFill="1" applyAlignment="1">
      <alignment/>
    </xf>
    <xf numFmtId="8" fontId="12" fillId="33" borderId="0" xfId="0" applyNumberFormat="1" applyFont="1" applyFill="1" applyAlignment="1">
      <alignment/>
    </xf>
    <xf numFmtId="10" fontId="12" fillId="33" borderId="0" xfId="0" applyNumberFormat="1" applyFont="1" applyFill="1" applyAlignment="1">
      <alignment/>
    </xf>
    <xf numFmtId="164" fontId="12" fillId="33" borderId="0" xfId="0" applyNumberFormat="1" applyFont="1" applyFill="1" applyAlignment="1">
      <alignment/>
    </xf>
    <xf numFmtId="0" fontId="0" fillId="34" borderId="0" xfId="0" applyFill="1" applyAlignment="1">
      <alignment/>
    </xf>
    <xf numFmtId="10" fontId="10" fillId="34" borderId="13" xfId="45" applyNumberFormat="1" applyFont="1" applyFill="1" applyBorder="1" applyAlignment="1" applyProtection="1">
      <alignment horizontal="center"/>
      <protection/>
    </xf>
    <xf numFmtId="10" fontId="10" fillId="35" borderId="14" xfId="45" applyNumberFormat="1" applyFont="1" applyFill="1" applyBorder="1" applyAlignment="1" applyProtection="1">
      <alignment horizontal="center"/>
      <protection/>
    </xf>
    <xf numFmtId="0" fontId="2" fillId="34" borderId="0" xfId="0" applyFont="1" applyFill="1" applyBorder="1" applyAlignment="1" applyProtection="1">
      <alignment horizontal="right"/>
      <protection/>
    </xf>
    <xf numFmtId="8" fontId="2" fillId="34" borderId="15" xfId="0" applyNumberFormat="1" applyFont="1" applyFill="1" applyBorder="1" applyAlignment="1">
      <alignment horizontal="center" vertical="center"/>
    </xf>
    <xf numFmtId="0" fontId="0" fillId="34" borderId="0" xfId="0" applyFill="1" applyAlignment="1" applyProtection="1">
      <alignment/>
      <protection/>
    </xf>
    <xf numFmtId="0" fontId="0" fillId="33" borderId="0" xfId="0" applyFill="1" applyAlignment="1" applyProtection="1">
      <alignment/>
      <protection/>
    </xf>
    <xf numFmtId="0" fontId="0" fillId="0" borderId="0" xfId="0" applyAlignment="1" applyProtection="1">
      <alignment/>
      <protection/>
    </xf>
    <xf numFmtId="0" fontId="0" fillId="34" borderId="10" xfId="0" applyFill="1" applyBorder="1" applyAlignment="1" applyProtection="1">
      <alignment/>
      <protection/>
    </xf>
    <xf numFmtId="0" fontId="0" fillId="34" borderId="10" xfId="0" applyFill="1" applyBorder="1" applyAlignment="1" applyProtection="1">
      <alignment horizontal="center"/>
      <protection/>
    </xf>
    <xf numFmtId="0" fontId="3" fillId="34" borderId="10" xfId="0" applyFont="1" applyFill="1" applyBorder="1" applyAlignment="1" applyProtection="1">
      <alignment/>
      <protection/>
    </xf>
    <xf numFmtId="0" fontId="0" fillId="34" borderId="0" xfId="0" applyFill="1" applyBorder="1" applyAlignment="1" applyProtection="1">
      <alignment/>
      <protection/>
    </xf>
    <xf numFmtId="0" fontId="0" fillId="34" borderId="16" xfId="0" applyFill="1" applyBorder="1" applyAlignment="1" applyProtection="1">
      <alignment/>
      <protection/>
    </xf>
    <xf numFmtId="0" fontId="2" fillId="35" borderId="17" xfId="0" applyFont="1" applyFill="1" applyBorder="1" applyAlignment="1" applyProtection="1">
      <alignment wrapText="1" shrinkToFit="1"/>
      <protection/>
    </xf>
    <xf numFmtId="44" fontId="9" fillId="35" borderId="17" xfId="45" applyFont="1" applyFill="1" applyBorder="1" applyAlignment="1" applyProtection="1">
      <alignment/>
      <protection/>
    </xf>
    <xf numFmtId="10" fontId="10" fillId="35" borderId="17" xfId="45" applyNumberFormat="1" applyFont="1" applyFill="1" applyBorder="1" applyAlignment="1" applyProtection="1">
      <alignment horizontal="center"/>
      <protection/>
    </xf>
    <xf numFmtId="0" fontId="2" fillId="35" borderId="14" xfId="0" applyFont="1" applyFill="1" applyBorder="1" applyAlignment="1" applyProtection="1">
      <alignment wrapText="1" shrinkToFit="1"/>
      <protection/>
    </xf>
    <xf numFmtId="44" fontId="9" fillId="35" borderId="14" xfId="45" applyFont="1" applyFill="1" applyBorder="1" applyAlignment="1" applyProtection="1">
      <alignment shrinkToFit="1"/>
      <protection/>
    </xf>
    <xf numFmtId="7" fontId="9" fillId="35" borderId="14" xfId="45" applyNumberFormat="1" applyFont="1" applyFill="1" applyBorder="1" applyAlignment="1" applyProtection="1">
      <alignment shrinkToFit="1"/>
      <protection/>
    </xf>
    <xf numFmtId="0" fontId="2" fillId="35" borderId="14" xfId="0" applyFont="1" applyFill="1" applyBorder="1" applyAlignment="1" applyProtection="1">
      <alignment wrapText="1"/>
      <protection/>
    </xf>
    <xf numFmtId="0" fontId="6" fillId="34" borderId="0" xfId="0" applyFont="1" applyFill="1" applyAlignment="1" applyProtection="1">
      <alignment/>
      <protection/>
    </xf>
    <xf numFmtId="0" fontId="15" fillId="34" borderId="0" xfId="0" applyFont="1" applyFill="1" applyBorder="1" applyAlignment="1" applyProtection="1">
      <alignment/>
      <protection/>
    </xf>
    <xf numFmtId="0" fontId="15" fillId="36" borderId="18" xfId="0" applyFont="1" applyFill="1" applyBorder="1" applyAlignment="1" applyProtection="1">
      <alignment/>
      <protection/>
    </xf>
    <xf numFmtId="0" fontId="15" fillId="36" borderId="0" xfId="0" applyFont="1" applyFill="1" applyBorder="1" applyAlignment="1" applyProtection="1">
      <alignment/>
      <protection/>
    </xf>
    <xf numFmtId="0" fontId="15" fillId="36" borderId="19" xfId="0" applyFont="1" applyFill="1" applyBorder="1" applyAlignment="1" applyProtection="1">
      <alignment/>
      <protection/>
    </xf>
    <xf numFmtId="0" fontId="15" fillId="36" borderId="20" xfId="0" applyFont="1" applyFill="1" applyBorder="1" applyAlignment="1" applyProtection="1">
      <alignment/>
      <protection/>
    </xf>
    <xf numFmtId="0" fontId="3" fillId="34" borderId="0" xfId="0" applyFont="1" applyFill="1" applyBorder="1" applyAlignment="1" applyProtection="1">
      <alignment/>
      <protection/>
    </xf>
    <xf numFmtId="0" fontId="0" fillId="34" borderId="0" xfId="0" applyFill="1" applyBorder="1" applyAlignment="1" applyProtection="1">
      <alignment horizontal="right"/>
      <protection/>
    </xf>
    <xf numFmtId="10" fontId="10" fillId="34" borderId="11" xfId="45" applyNumberFormat="1" applyFont="1" applyFill="1" applyBorder="1" applyAlignment="1" applyProtection="1">
      <alignment horizontal="center"/>
      <protection/>
    </xf>
    <xf numFmtId="0" fontId="0" fillId="34" borderId="0" xfId="0" applyFill="1" applyBorder="1" applyAlignment="1" applyProtection="1">
      <alignment horizontal="center"/>
      <protection/>
    </xf>
    <xf numFmtId="0" fontId="8" fillId="34" borderId="0" xfId="0" applyFont="1" applyFill="1" applyBorder="1" applyAlignment="1" applyProtection="1">
      <alignment vertical="top" wrapText="1"/>
      <protection/>
    </xf>
    <xf numFmtId="0" fontId="2" fillId="34" borderId="0" xfId="0" applyFont="1" applyFill="1" applyBorder="1" applyAlignment="1" applyProtection="1">
      <alignment horizontal="center"/>
      <protection/>
    </xf>
    <xf numFmtId="0" fontId="10" fillId="34" borderId="0" xfId="0" applyFont="1" applyFill="1" applyBorder="1" applyAlignment="1" applyProtection="1">
      <alignment/>
      <protection/>
    </xf>
    <xf numFmtId="0" fontId="0" fillId="34" borderId="0" xfId="0" applyFill="1" applyBorder="1" applyAlignment="1" applyProtection="1">
      <alignment vertical="top" wrapText="1"/>
      <protection/>
    </xf>
    <xf numFmtId="0" fontId="13" fillId="34" borderId="0" xfId="0" applyFont="1" applyFill="1" applyBorder="1" applyAlignment="1" applyProtection="1">
      <alignment/>
      <protection/>
    </xf>
    <xf numFmtId="0" fontId="13" fillId="34" borderId="0" xfId="0" applyFont="1" applyFill="1" applyAlignment="1" applyProtection="1">
      <alignment/>
      <protection/>
    </xf>
    <xf numFmtId="0" fontId="16" fillId="34" borderId="0" xfId="0" applyFont="1" applyFill="1" applyBorder="1" applyAlignment="1" applyProtection="1">
      <alignment/>
      <protection/>
    </xf>
    <xf numFmtId="0" fontId="0" fillId="34" borderId="0" xfId="0" applyFont="1" applyFill="1" applyBorder="1" applyAlignment="1" applyProtection="1">
      <alignment/>
      <protection/>
    </xf>
    <xf numFmtId="0" fontId="4" fillId="34" borderId="0" xfId="0" applyFont="1" applyFill="1" applyBorder="1" applyAlignment="1" applyProtection="1">
      <alignment horizontal="right"/>
      <protection/>
    </xf>
    <xf numFmtId="167" fontId="2" fillId="37" borderId="21" xfId="0" applyNumberFormat="1" applyFont="1" applyFill="1" applyBorder="1" applyAlignment="1" applyProtection="1">
      <alignment horizontal="center"/>
      <protection locked="0"/>
    </xf>
    <xf numFmtId="168" fontId="2" fillId="37" borderId="21" xfId="0" applyNumberFormat="1" applyFont="1" applyFill="1" applyBorder="1" applyAlignment="1" applyProtection="1">
      <alignment horizontal="center"/>
      <protection locked="0"/>
    </xf>
    <xf numFmtId="10" fontId="2" fillId="37" borderId="21" xfId="45" applyNumberFormat="1" applyFont="1" applyFill="1" applyBorder="1" applyAlignment="1" applyProtection="1">
      <alignment horizontal="center"/>
      <protection locked="0"/>
    </xf>
    <xf numFmtId="0" fontId="0" fillId="34" borderId="0" xfId="0" applyFill="1" applyBorder="1" applyAlignment="1">
      <alignment/>
    </xf>
    <xf numFmtId="0" fontId="0" fillId="33" borderId="0" xfId="0" applyFill="1" applyBorder="1" applyAlignment="1">
      <alignment/>
    </xf>
    <xf numFmtId="7" fontId="2" fillId="0" borderId="12" xfId="0" applyNumberFormat="1" applyFont="1" applyBorder="1" applyAlignment="1">
      <alignment/>
    </xf>
    <xf numFmtId="7" fontId="2" fillId="0" borderId="22" xfId="0" applyNumberFormat="1" applyFont="1" applyBorder="1" applyAlignment="1">
      <alignment/>
    </xf>
    <xf numFmtId="0" fontId="0" fillId="0" borderId="0" xfId="0" applyBorder="1" applyAlignment="1">
      <alignment horizontal="right"/>
    </xf>
    <xf numFmtId="169" fontId="0" fillId="0" borderId="0" xfId="0" applyNumberFormat="1" applyBorder="1" applyAlignment="1">
      <alignment/>
    </xf>
    <xf numFmtId="169" fontId="0" fillId="0" borderId="0" xfId="0" applyNumberFormat="1" applyAlignment="1">
      <alignment/>
    </xf>
    <xf numFmtId="0" fontId="0" fillId="0" borderId="23" xfId="0" applyBorder="1" applyAlignment="1">
      <alignment/>
    </xf>
    <xf numFmtId="7" fontId="2" fillId="33" borderId="12" xfId="0" applyNumberFormat="1" applyFont="1" applyFill="1" applyBorder="1" applyAlignment="1">
      <alignment/>
    </xf>
    <xf numFmtId="8" fontId="0" fillId="34" borderId="0" xfId="0" applyNumberFormat="1" applyFill="1" applyAlignment="1">
      <alignment/>
    </xf>
    <xf numFmtId="0" fontId="0" fillId="0" borderId="0" xfId="0" applyAlignment="1">
      <alignment horizontal="right"/>
    </xf>
    <xf numFmtId="164" fontId="0" fillId="34" borderId="0" xfId="0" applyNumberFormat="1" applyFill="1" applyAlignment="1" applyProtection="1">
      <alignment/>
      <protection/>
    </xf>
    <xf numFmtId="164" fontId="2" fillId="34" borderId="0" xfId="0" applyNumberFormat="1" applyFont="1" applyFill="1" applyBorder="1" applyAlignment="1" applyProtection="1">
      <alignment horizontal="center" vertical="center"/>
      <protection/>
    </xf>
    <xf numFmtId="0" fontId="0" fillId="0" borderId="0" xfId="0" applyBorder="1" applyAlignment="1" applyProtection="1">
      <alignment/>
      <protection/>
    </xf>
    <xf numFmtId="0" fontId="0" fillId="34" borderId="0" xfId="0" applyFill="1" applyAlignment="1" applyProtection="1">
      <alignment horizontal="right"/>
      <protection/>
    </xf>
    <xf numFmtId="0" fontId="3" fillId="34" borderId="0" xfId="0" applyFont="1" applyFill="1" applyBorder="1" applyAlignment="1" applyProtection="1">
      <alignment horizontal="center"/>
      <protection/>
    </xf>
    <xf numFmtId="44" fontId="3" fillId="34" borderId="0" xfId="45" applyFont="1" applyFill="1" applyBorder="1" applyAlignment="1" applyProtection="1">
      <alignment horizontal="center"/>
      <protection/>
    </xf>
    <xf numFmtId="10" fontId="2" fillId="34" borderId="15" xfId="0" applyNumberFormat="1" applyFont="1" applyFill="1" applyBorder="1" applyAlignment="1">
      <alignment horizontal="center" vertical="center"/>
    </xf>
    <xf numFmtId="2" fontId="2" fillId="34" borderId="15" xfId="0" applyNumberFormat="1" applyFont="1" applyFill="1" applyBorder="1" applyAlignment="1">
      <alignment horizontal="center" vertical="center"/>
    </xf>
    <xf numFmtId="0" fontId="2" fillId="34" borderId="15" xfId="0" applyFont="1" applyFill="1" applyBorder="1" applyAlignment="1">
      <alignment horizontal="center" vertical="center"/>
    </xf>
    <xf numFmtId="164" fontId="2" fillId="34" borderId="15" xfId="0" applyNumberFormat="1" applyFont="1" applyFill="1" applyBorder="1" applyAlignment="1">
      <alignment horizontal="center" vertical="center"/>
    </xf>
    <xf numFmtId="164" fontId="2" fillId="34" borderId="15" xfId="0" applyNumberFormat="1" applyFont="1" applyFill="1" applyBorder="1" applyAlignment="1">
      <alignment horizontal="center" vertical="center"/>
    </xf>
    <xf numFmtId="0" fontId="0" fillId="34" borderId="15" xfId="0" applyFill="1" applyBorder="1" applyAlignment="1">
      <alignment/>
    </xf>
    <xf numFmtId="0" fontId="2" fillId="0" borderId="0" xfId="0" applyFont="1" applyAlignment="1" applyProtection="1">
      <alignment/>
      <protection/>
    </xf>
    <xf numFmtId="0" fontId="2" fillId="33" borderId="12" xfId="0" applyFont="1" applyFill="1" applyBorder="1" applyAlignment="1">
      <alignment/>
    </xf>
    <xf numFmtId="8" fontId="2" fillId="33" borderId="12" xfId="0" applyNumberFormat="1" applyFont="1" applyFill="1" applyBorder="1" applyAlignment="1">
      <alignment/>
    </xf>
    <xf numFmtId="44" fontId="2" fillId="33" borderId="12" xfId="0" applyNumberFormat="1" applyFont="1" applyFill="1" applyBorder="1" applyAlignment="1">
      <alignment/>
    </xf>
    <xf numFmtId="7" fontId="2" fillId="33" borderId="24" xfId="0" applyNumberFormat="1" applyFont="1" applyFill="1" applyBorder="1" applyAlignment="1">
      <alignment/>
    </xf>
    <xf numFmtId="0" fontId="2" fillId="33" borderId="12" xfId="0" applyFont="1" applyFill="1" applyBorder="1" applyAlignment="1">
      <alignment horizontal="right"/>
    </xf>
    <xf numFmtId="7" fontId="2" fillId="33" borderId="25" xfId="0" applyNumberFormat="1" applyFont="1" applyFill="1" applyBorder="1" applyAlignment="1">
      <alignment/>
    </xf>
    <xf numFmtId="0" fontId="0" fillId="0" borderId="16" xfId="0" applyBorder="1" applyAlignment="1">
      <alignment/>
    </xf>
    <xf numFmtId="164" fontId="2" fillId="34" borderId="26" xfId="0" applyNumberFormat="1" applyFont="1" applyFill="1" applyBorder="1" applyAlignment="1">
      <alignment horizontal="center" vertical="center"/>
    </xf>
    <xf numFmtId="0" fontId="12" fillId="0" borderId="0" xfId="0" applyFont="1" applyAlignment="1">
      <alignment/>
    </xf>
    <xf numFmtId="0" fontId="0" fillId="33" borderId="27" xfId="0" applyFill="1" applyBorder="1" applyAlignment="1">
      <alignment/>
    </xf>
    <xf numFmtId="0" fontId="2" fillId="33" borderId="13" xfId="0" applyFont="1" applyFill="1" applyBorder="1" applyAlignment="1">
      <alignment horizontal="right"/>
    </xf>
    <xf numFmtId="0" fontId="2" fillId="33" borderId="28" xfId="0" applyFont="1" applyFill="1" applyBorder="1" applyAlignment="1">
      <alignment horizontal="center"/>
    </xf>
    <xf numFmtId="0" fontId="21" fillId="34" borderId="0" xfId="0" applyFont="1" applyFill="1" applyBorder="1" applyAlignment="1" applyProtection="1">
      <alignment/>
      <protection/>
    </xf>
    <xf numFmtId="0" fontId="2" fillId="34" borderId="0" xfId="0" applyFont="1" applyFill="1" applyBorder="1" applyAlignment="1" applyProtection="1">
      <alignment wrapText="1"/>
      <protection/>
    </xf>
    <xf numFmtId="44" fontId="9" fillId="34" borderId="0" xfId="45" applyFont="1" applyFill="1" applyBorder="1" applyAlignment="1" applyProtection="1">
      <alignment shrinkToFit="1"/>
      <protection/>
    </xf>
    <xf numFmtId="10" fontId="10" fillId="34" borderId="0" xfId="45" applyNumberFormat="1" applyFont="1" applyFill="1" applyBorder="1" applyAlignment="1" applyProtection="1">
      <alignment horizontal="center"/>
      <protection/>
    </xf>
    <xf numFmtId="44" fontId="9" fillId="34" borderId="0" xfId="45" applyFont="1" applyFill="1" applyBorder="1" applyAlignment="1" applyProtection="1">
      <alignment/>
      <protection/>
    </xf>
    <xf numFmtId="0" fontId="0" fillId="0" borderId="0" xfId="0" applyAlignment="1">
      <alignment horizontal="center"/>
    </xf>
    <xf numFmtId="0" fontId="2" fillId="0" borderId="12" xfId="0" applyFont="1" applyFill="1" applyBorder="1" applyAlignment="1">
      <alignment/>
    </xf>
    <xf numFmtId="44" fontId="2" fillId="0" borderId="12" xfId="0" applyNumberFormat="1" applyFont="1" applyFill="1" applyBorder="1" applyAlignment="1">
      <alignment/>
    </xf>
    <xf numFmtId="2" fontId="12" fillId="0" borderId="0" xfId="0" applyNumberFormat="1" applyFont="1" applyAlignment="1">
      <alignment/>
    </xf>
    <xf numFmtId="0" fontId="0" fillId="0" borderId="18" xfId="0" applyBorder="1" applyAlignment="1">
      <alignment/>
    </xf>
    <xf numFmtId="0" fontId="0" fillId="0" borderId="29" xfId="0" applyBorder="1" applyAlignment="1">
      <alignment/>
    </xf>
    <xf numFmtId="0" fontId="0" fillId="0" borderId="18" xfId="0" applyBorder="1" applyAlignment="1">
      <alignment horizontal="center"/>
    </xf>
    <xf numFmtId="0" fontId="0" fillId="0" borderId="0" xfId="0" applyBorder="1" applyAlignment="1">
      <alignment horizontal="center"/>
    </xf>
    <xf numFmtId="0" fontId="0" fillId="0" borderId="29" xfId="0" applyBorder="1" applyAlignment="1">
      <alignment horizontal="center"/>
    </xf>
    <xf numFmtId="8" fontId="0" fillId="0" borderId="18" xfId="0" applyNumberFormat="1" applyBorder="1" applyAlignment="1">
      <alignment/>
    </xf>
    <xf numFmtId="7" fontId="0" fillId="0" borderId="0" xfId="0" applyNumberFormat="1" applyBorder="1" applyAlignment="1">
      <alignment/>
    </xf>
    <xf numFmtId="8" fontId="0" fillId="0" borderId="29" xfId="0" applyNumberFormat="1" applyBorder="1" applyAlignment="1">
      <alignment/>
    </xf>
    <xf numFmtId="8" fontId="0" fillId="0" borderId="0" xfId="0" applyNumberFormat="1" applyBorder="1" applyAlignment="1">
      <alignment/>
    </xf>
    <xf numFmtId="0" fontId="0" fillId="0" borderId="30" xfId="0" applyBorder="1" applyAlignment="1">
      <alignment horizontal="center"/>
    </xf>
    <xf numFmtId="0" fontId="0" fillId="0" borderId="15" xfId="0" applyBorder="1" applyAlignment="1">
      <alignment horizontal="center"/>
    </xf>
    <xf numFmtId="0" fontId="0" fillId="0" borderId="31" xfId="0" applyBorder="1" applyAlignment="1">
      <alignment horizontal="center"/>
    </xf>
    <xf numFmtId="0" fontId="0" fillId="0" borderId="32" xfId="0" applyBorder="1" applyAlignment="1">
      <alignment/>
    </xf>
    <xf numFmtId="0" fontId="0" fillId="0" borderId="10" xfId="0" applyBorder="1" applyAlignment="1">
      <alignment horizontal="center"/>
    </xf>
    <xf numFmtId="0" fontId="0" fillId="0" borderId="33" xfId="0" applyBorder="1" applyAlignment="1">
      <alignment horizontal="center"/>
    </xf>
    <xf numFmtId="0" fontId="0" fillId="0" borderId="23" xfId="0" applyBorder="1" applyAlignment="1">
      <alignment horizontal="center"/>
    </xf>
    <xf numFmtId="0" fontId="0" fillId="0" borderId="34" xfId="0" applyBorder="1" applyAlignment="1">
      <alignment horizontal="center"/>
    </xf>
    <xf numFmtId="8" fontId="0" fillId="0" borderId="35" xfId="0" applyNumberFormat="1" applyBorder="1" applyAlignment="1">
      <alignment/>
    </xf>
    <xf numFmtId="7" fontId="0" fillId="0" borderId="36" xfId="0" applyNumberFormat="1" applyBorder="1" applyAlignment="1">
      <alignment/>
    </xf>
    <xf numFmtId="0" fontId="0" fillId="0" borderId="36" xfId="0" applyBorder="1" applyAlignment="1">
      <alignment/>
    </xf>
    <xf numFmtId="8" fontId="0" fillId="0" borderId="36" xfId="0" applyNumberFormat="1" applyBorder="1" applyAlignment="1">
      <alignment/>
    </xf>
    <xf numFmtId="8" fontId="0" fillId="0" borderId="37" xfId="0" applyNumberFormat="1" applyBorder="1" applyAlignment="1">
      <alignment/>
    </xf>
    <xf numFmtId="0" fontId="0" fillId="0" borderId="38" xfId="0" applyBorder="1" applyAlignment="1">
      <alignment horizontal="center"/>
    </xf>
    <xf numFmtId="8" fontId="12" fillId="0" borderId="0" xfId="0" applyNumberFormat="1" applyFont="1" applyAlignment="1">
      <alignment/>
    </xf>
    <xf numFmtId="0" fontId="22" fillId="0" borderId="0" xfId="0" applyFont="1" applyAlignment="1">
      <alignment/>
    </xf>
    <xf numFmtId="0" fontId="0" fillId="0" borderId="39" xfId="0" applyBorder="1" applyAlignment="1">
      <alignment horizontal="center"/>
    </xf>
    <xf numFmtId="0" fontId="0" fillId="0" borderId="35" xfId="0" applyBorder="1" applyAlignment="1">
      <alignment/>
    </xf>
    <xf numFmtId="0" fontId="0" fillId="34" borderId="0" xfId="0" applyFont="1" applyFill="1" applyAlignment="1" applyProtection="1">
      <alignment/>
      <protection/>
    </xf>
    <xf numFmtId="165" fontId="2" fillId="34" borderId="0" xfId="45" applyNumberFormat="1" applyFont="1" applyFill="1" applyBorder="1" applyAlignment="1" applyProtection="1">
      <alignment horizontal="center"/>
      <protection/>
    </xf>
    <xf numFmtId="0" fontId="6" fillId="0" borderId="0" xfId="0" applyFont="1" applyAlignment="1">
      <alignment/>
    </xf>
    <xf numFmtId="0" fontId="0" fillId="0" borderId="0" xfId="0" applyFont="1" applyAlignment="1">
      <alignment/>
    </xf>
    <xf numFmtId="0" fontId="0" fillId="34" borderId="0" xfId="0" applyFont="1" applyFill="1" applyBorder="1" applyAlignment="1" applyProtection="1">
      <alignment vertical="top" wrapText="1"/>
      <protection/>
    </xf>
    <xf numFmtId="0" fontId="3" fillId="33" borderId="12" xfId="0" applyFont="1" applyFill="1" applyBorder="1" applyAlignment="1">
      <alignment horizontal="center"/>
    </xf>
    <xf numFmtId="8" fontId="3" fillId="33" borderId="12" xfId="0" applyNumberFormat="1" applyFont="1" applyFill="1" applyBorder="1" applyAlignment="1">
      <alignment horizontal="center"/>
    </xf>
    <xf numFmtId="44" fontId="3" fillId="33" borderId="12" xfId="0" applyNumberFormat="1" applyFont="1" applyFill="1" applyBorder="1" applyAlignment="1">
      <alignment horizontal="center"/>
    </xf>
    <xf numFmtId="44" fontId="2" fillId="0" borderId="0" xfId="0" applyNumberFormat="1" applyFont="1" applyBorder="1" applyAlignment="1">
      <alignment/>
    </xf>
    <xf numFmtId="0" fontId="2" fillId="33" borderId="25" xfId="0" applyFont="1" applyFill="1" applyBorder="1" applyAlignment="1">
      <alignment horizontal="center"/>
    </xf>
    <xf numFmtId="0" fontId="2" fillId="33" borderId="40" xfId="0" applyFont="1" applyFill="1" applyBorder="1" applyAlignment="1">
      <alignment horizontal="center"/>
    </xf>
    <xf numFmtId="0" fontId="2" fillId="0" borderId="0" xfId="0" applyFont="1" applyFill="1" applyBorder="1" applyAlignment="1">
      <alignment horizontal="center"/>
    </xf>
    <xf numFmtId="0" fontId="0" fillId="0" borderId="0" xfId="0" applyFill="1" applyBorder="1" applyAlignment="1">
      <alignment/>
    </xf>
    <xf numFmtId="8" fontId="0" fillId="0" borderId="34" xfId="0" applyNumberFormat="1" applyBorder="1" applyAlignment="1">
      <alignment/>
    </xf>
    <xf numFmtId="2" fontId="2" fillId="33" borderId="25" xfId="0" applyNumberFormat="1" applyFont="1" applyFill="1" applyBorder="1" applyAlignment="1">
      <alignment horizontal="center"/>
    </xf>
    <xf numFmtId="0" fontId="2" fillId="33" borderId="41" xfId="0" applyFont="1" applyFill="1" applyBorder="1" applyAlignment="1">
      <alignment horizontal="center"/>
    </xf>
    <xf numFmtId="44" fontId="2" fillId="33" borderId="42" xfId="0" applyNumberFormat="1" applyFont="1" applyFill="1" applyBorder="1" applyAlignment="1">
      <alignment horizontal="center" vertical="center"/>
    </xf>
    <xf numFmtId="2" fontId="2" fillId="33" borderId="22" xfId="0" applyNumberFormat="1" applyFont="1" applyFill="1" applyBorder="1" applyAlignment="1">
      <alignment horizontal="center" vertical="center"/>
    </xf>
    <xf numFmtId="10" fontId="2" fillId="33" borderId="22" xfId="0" applyNumberFormat="1" applyFont="1" applyFill="1" applyBorder="1" applyAlignment="1">
      <alignment horizontal="center" vertical="center"/>
    </xf>
    <xf numFmtId="44" fontId="2" fillId="33" borderId="43" xfId="0" applyNumberFormat="1" applyFont="1" applyFill="1" applyBorder="1" applyAlignment="1">
      <alignment horizontal="center" vertical="center"/>
    </xf>
    <xf numFmtId="0" fontId="0" fillId="0" borderId="0" xfId="0" applyAlignment="1">
      <alignment/>
    </xf>
    <xf numFmtId="0" fontId="12" fillId="0" borderId="0" xfId="0" applyFont="1" applyAlignment="1">
      <alignment/>
    </xf>
    <xf numFmtId="44" fontId="2" fillId="33" borderId="42" xfId="0" applyNumberFormat="1" applyFont="1" applyFill="1" applyBorder="1" applyAlignment="1">
      <alignment vertical="center"/>
    </xf>
    <xf numFmtId="44" fontId="2" fillId="33" borderId="22" xfId="0" applyNumberFormat="1" applyFont="1" applyFill="1" applyBorder="1" applyAlignment="1">
      <alignment horizontal="center" vertical="center"/>
    </xf>
    <xf numFmtId="10" fontId="2" fillId="33" borderId="43" xfId="0" applyNumberFormat="1" applyFont="1" applyFill="1" applyBorder="1" applyAlignment="1">
      <alignment horizontal="center" vertical="center"/>
    </xf>
    <xf numFmtId="0" fontId="0" fillId="37" borderId="21" xfId="0" applyFill="1" applyBorder="1" applyAlignment="1">
      <alignment/>
    </xf>
    <xf numFmtId="0" fontId="2" fillId="34" borderId="0" xfId="0" applyFont="1" applyFill="1" applyAlignment="1">
      <alignment/>
    </xf>
    <xf numFmtId="0" fontId="0" fillId="34" borderId="0" xfId="0" applyFill="1" applyAlignment="1">
      <alignment horizontal="right"/>
    </xf>
    <xf numFmtId="0" fontId="0" fillId="34" borderId="0" xfId="0" applyFont="1" applyFill="1" applyBorder="1" applyAlignment="1" applyProtection="1">
      <alignment/>
      <protection/>
    </xf>
    <xf numFmtId="0" fontId="0" fillId="34" borderId="0" xfId="0" applyFont="1" applyFill="1" applyBorder="1" applyAlignment="1" applyProtection="1">
      <alignment horizontal="right"/>
      <protection/>
    </xf>
    <xf numFmtId="0" fontId="0" fillId="34" borderId="0" xfId="0" applyFont="1" applyFill="1" applyBorder="1" applyAlignment="1" applyProtection="1">
      <alignment horizontal="left"/>
      <protection/>
    </xf>
    <xf numFmtId="170" fontId="0" fillId="34" borderId="0" xfId="0" applyNumberFormat="1" applyFont="1" applyFill="1" applyBorder="1" applyAlignment="1" applyProtection="1">
      <alignment/>
      <protection/>
    </xf>
    <xf numFmtId="167" fontId="2" fillId="34" borderId="0" xfId="0" applyNumberFormat="1" applyFont="1" applyFill="1" applyBorder="1" applyAlignment="1" applyProtection="1">
      <alignment horizontal="center"/>
      <protection locked="0"/>
    </xf>
    <xf numFmtId="0" fontId="13" fillId="34" borderId="0" xfId="0" applyFont="1" applyFill="1" applyAlignment="1" applyProtection="1">
      <alignment/>
      <protection/>
    </xf>
    <xf numFmtId="0" fontId="13" fillId="34" borderId="0" xfId="0" applyFont="1" applyFill="1" applyAlignment="1" applyProtection="1">
      <alignment horizontal="right"/>
      <protection/>
    </xf>
    <xf numFmtId="0" fontId="13" fillId="34" borderId="0" xfId="0" applyFont="1" applyFill="1" applyAlignment="1" applyProtection="1">
      <alignment horizontal="left"/>
      <protection/>
    </xf>
    <xf numFmtId="0" fontId="13" fillId="34" borderId="0" xfId="0" applyFont="1" applyFill="1" applyBorder="1" applyAlignment="1" applyProtection="1">
      <alignment/>
      <protection/>
    </xf>
    <xf numFmtId="0" fontId="24" fillId="34" borderId="0" xfId="0" applyFont="1" applyFill="1" applyBorder="1" applyAlignment="1" applyProtection="1">
      <alignment/>
      <protection/>
    </xf>
    <xf numFmtId="0" fontId="24" fillId="36" borderId="0" xfId="0" applyFont="1" applyFill="1" applyBorder="1" applyAlignment="1" applyProtection="1">
      <alignment/>
      <protection/>
    </xf>
    <xf numFmtId="0" fontId="24" fillId="34" borderId="29" xfId="0" applyFont="1" applyFill="1" applyBorder="1" applyAlignment="1" applyProtection="1">
      <alignment/>
      <protection/>
    </xf>
    <xf numFmtId="0" fontId="24" fillId="36" borderId="20" xfId="0" applyFont="1" applyFill="1" applyBorder="1" applyAlignment="1" applyProtection="1">
      <alignment/>
      <protection/>
    </xf>
    <xf numFmtId="0" fontId="24" fillId="34" borderId="44" xfId="0" applyFont="1" applyFill="1" applyBorder="1" applyAlignment="1" applyProtection="1">
      <alignment/>
      <protection/>
    </xf>
    <xf numFmtId="0" fontId="13" fillId="33" borderId="0" xfId="0" applyFont="1" applyFill="1" applyAlignment="1" applyProtection="1">
      <alignment/>
      <protection/>
    </xf>
    <xf numFmtId="0" fontId="13" fillId="0" borderId="0" xfId="0" applyFont="1" applyAlignment="1" applyProtection="1">
      <alignment/>
      <protection/>
    </xf>
    <xf numFmtId="0" fontId="0" fillId="34" borderId="18" xfId="0" applyFill="1" applyBorder="1" applyAlignment="1" applyProtection="1">
      <alignment/>
      <protection/>
    </xf>
    <xf numFmtId="0" fontId="0" fillId="34" borderId="29" xfId="0" applyFill="1" applyBorder="1" applyAlignment="1" applyProtection="1">
      <alignment/>
      <protection/>
    </xf>
    <xf numFmtId="0" fontId="2" fillId="34" borderId="18" xfId="0" applyFont="1" applyFill="1" applyBorder="1" applyAlignment="1" applyProtection="1">
      <alignment horizontal="right"/>
      <protection/>
    </xf>
    <xf numFmtId="172" fontId="2" fillId="37" borderId="45" xfId="0" applyNumberFormat="1" applyFont="1" applyFill="1" applyBorder="1" applyAlignment="1" applyProtection="1">
      <alignment horizontal="center" vertical="center"/>
      <protection locked="0"/>
    </xf>
    <xf numFmtId="2" fontId="2" fillId="37" borderId="45" xfId="0" applyNumberFormat="1" applyFont="1" applyFill="1" applyBorder="1" applyAlignment="1" applyProtection="1">
      <alignment horizontal="center"/>
      <protection locked="0"/>
    </xf>
    <xf numFmtId="0" fontId="0" fillId="0" borderId="46" xfId="0" applyBorder="1" applyAlignment="1" applyProtection="1">
      <alignment/>
      <protection/>
    </xf>
    <xf numFmtId="164" fontId="2" fillId="37" borderId="45" xfId="0" applyNumberFormat="1" applyFont="1" applyFill="1" applyBorder="1" applyAlignment="1" applyProtection="1">
      <alignment vertical="center"/>
      <protection locked="0"/>
    </xf>
    <xf numFmtId="165" fontId="2" fillId="37" borderId="45" xfId="45" applyNumberFormat="1" applyFont="1" applyFill="1" applyBorder="1" applyAlignment="1" applyProtection="1">
      <alignment horizontal="center"/>
      <protection locked="0"/>
    </xf>
    <xf numFmtId="164" fontId="2" fillId="34" borderId="29" xfId="0" applyNumberFormat="1" applyFont="1" applyFill="1" applyBorder="1" applyAlignment="1" applyProtection="1">
      <alignment horizontal="center" vertical="center"/>
      <protection/>
    </xf>
    <xf numFmtId="0" fontId="21" fillId="34" borderId="29" xfId="0" applyFont="1" applyFill="1" applyBorder="1" applyAlignment="1" applyProtection="1">
      <alignment horizontal="right"/>
      <protection/>
    </xf>
    <xf numFmtId="0" fontId="2" fillId="34" borderId="18" xfId="0" applyFont="1" applyFill="1" applyBorder="1" applyAlignment="1" applyProtection="1">
      <alignment vertical="center" wrapText="1"/>
      <protection/>
    </xf>
    <xf numFmtId="44" fontId="9" fillId="34" borderId="29" xfId="45" applyFont="1" applyFill="1" applyBorder="1" applyAlignment="1" applyProtection="1">
      <alignment/>
      <protection/>
    </xf>
    <xf numFmtId="0" fontId="19" fillId="34" borderId="47" xfId="0" applyFont="1" applyFill="1" applyBorder="1" applyAlignment="1" applyProtection="1">
      <alignment/>
      <protection/>
    </xf>
    <xf numFmtId="0" fontId="19" fillId="34" borderId="24" xfId="0" applyFont="1" applyFill="1" applyBorder="1" applyAlignment="1" applyProtection="1">
      <alignment/>
      <protection/>
    </xf>
    <xf numFmtId="0" fontId="10" fillId="33" borderId="12" xfId="0" applyFont="1" applyFill="1" applyBorder="1" applyAlignment="1" applyProtection="1">
      <alignment horizontal="center"/>
      <protection/>
    </xf>
    <xf numFmtId="0" fontId="10" fillId="33" borderId="30" xfId="0" applyFont="1" applyFill="1" applyBorder="1" applyAlignment="1" applyProtection="1">
      <alignment horizontal="center"/>
      <protection/>
    </xf>
    <xf numFmtId="0" fontId="10" fillId="33" borderId="31" xfId="0" applyFont="1" applyFill="1" applyBorder="1" applyAlignment="1" applyProtection="1">
      <alignment horizontal="center"/>
      <protection/>
    </xf>
    <xf numFmtId="0" fontId="10" fillId="33" borderId="15" xfId="0" applyFont="1" applyFill="1" applyBorder="1" applyAlignment="1" applyProtection="1">
      <alignment horizontal="center"/>
      <protection/>
    </xf>
    <xf numFmtId="0" fontId="2" fillId="33" borderId="31" xfId="0" applyFont="1" applyFill="1" applyBorder="1" applyAlignment="1" applyProtection="1">
      <alignment horizontal="center"/>
      <protection/>
    </xf>
    <xf numFmtId="10" fontId="6" fillId="33" borderId="16" xfId="0" applyNumberFormat="1" applyFont="1" applyFill="1" applyBorder="1" applyAlignment="1" applyProtection="1">
      <alignment horizontal="center" vertical="center"/>
      <protection/>
    </xf>
    <xf numFmtId="0" fontId="2" fillId="33" borderId="16" xfId="0" applyFont="1" applyFill="1" applyBorder="1" applyAlignment="1" applyProtection="1">
      <alignment/>
      <protection/>
    </xf>
    <xf numFmtId="0" fontId="2" fillId="33" borderId="16" xfId="0" applyFont="1" applyFill="1" applyBorder="1" applyAlignment="1" applyProtection="1">
      <alignment vertical="center"/>
      <protection/>
    </xf>
    <xf numFmtId="0" fontId="2" fillId="33" borderId="16" xfId="0" applyFont="1" applyFill="1" applyBorder="1" applyAlignment="1" applyProtection="1">
      <alignment vertical="center" wrapText="1"/>
      <protection/>
    </xf>
    <xf numFmtId="0" fontId="0" fillId="33" borderId="16" xfId="0" applyFill="1" applyBorder="1" applyAlignment="1" applyProtection="1">
      <alignment vertical="center"/>
      <protection/>
    </xf>
    <xf numFmtId="0" fontId="2" fillId="33" borderId="16" xfId="0" applyFont="1" applyFill="1" applyBorder="1" applyAlignment="1" applyProtection="1">
      <alignment wrapText="1"/>
      <protection/>
    </xf>
    <xf numFmtId="0" fontId="3" fillId="33" borderId="16" xfId="0" applyFont="1" applyFill="1" applyBorder="1" applyAlignment="1" applyProtection="1">
      <alignment horizontal="left" vertical="center" wrapText="1"/>
      <protection/>
    </xf>
    <xf numFmtId="0" fontId="3" fillId="33" borderId="16" xfId="0" applyFont="1" applyFill="1" applyBorder="1" applyAlignment="1" applyProtection="1">
      <alignment vertical="center" wrapText="1"/>
      <protection/>
    </xf>
    <xf numFmtId="0" fontId="9" fillId="33" borderId="16" xfId="0" applyFont="1" applyFill="1" applyBorder="1" applyAlignment="1" applyProtection="1">
      <alignment horizontal="center" vertical="center"/>
      <protection/>
    </xf>
    <xf numFmtId="7" fontId="6" fillId="33" borderId="16" xfId="45" applyNumberFormat="1" applyFont="1" applyFill="1" applyBorder="1" applyAlignment="1" applyProtection="1">
      <alignment horizontal="center" vertical="center"/>
      <protection/>
    </xf>
    <xf numFmtId="164"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10" fillId="33" borderId="16" xfId="0" applyFont="1" applyFill="1" applyBorder="1" applyAlignment="1" applyProtection="1">
      <alignment horizontal="center"/>
      <protection/>
    </xf>
    <xf numFmtId="44" fontId="10" fillId="33" borderId="16" xfId="45" applyFont="1" applyFill="1" applyBorder="1" applyAlignment="1" applyProtection="1">
      <alignment horizontal="center"/>
      <protection/>
    </xf>
    <xf numFmtId="0" fontId="9" fillId="33" borderId="16" xfId="0" applyFont="1" applyFill="1" applyBorder="1" applyAlignment="1" applyProtection="1">
      <alignment horizontal="center" vertical="center"/>
      <protection/>
    </xf>
    <xf numFmtId="0" fontId="10" fillId="33" borderId="16" xfId="0" applyFont="1" applyFill="1" applyBorder="1" applyAlignment="1" applyProtection="1">
      <alignment horizontal="center" vertical="center"/>
      <protection/>
    </xf>
    <xf numFmtId="0" fontId="10" fillId="33" borderId="39" xfId="0" applyFont="1" applyFill="1" applyBorder="1" applyAlignment="1" applyProtection="1">
      <alignment horizontal="center"/>
      <protection/>
    </xf>
    <xf numFmtId="0" fontId="3" fillId="33" borderId="47" xfId="0" applyFont="1" applyFill="1" applyBorder="1" applyAlignment="1" applyProtection="1">
      <alignment horizontal="center" wrapText="1"/>
      <protection/>
    </xf>
    <xf numFmtId="10" fontId="6" fillId="33" borderId="26" xfId="0" applyNumberFormat="1" applyFont="1" applyFill="1" applyBorder="1" applyAlignment="1" applyProtection="1">
      <alignment horizontal="center" vertical="center"/>
      <protection/>
    </xf>
    <xf numFmtId="0" fontId="10" fillId="33" borderId="26" xfId="0" applyFont="1" applyFill="1" applyBorder="1" applyAlignment="1" applyProtection="1">
      <alignment horizontal="center"/>
      <protection/>
    </xf>
    <xf numFmtId="10" fontId="6" fillId="33" borderId="20" xfId="0" applyNumberFormat="1" applyFont="1" applyFill="1" applyBorder="1" applyAlignment="1" applyProtection="1">
      <alignment horizontal="center" vertical="center"/>
      <protection/>
    </xf>
    <xf numFmtId="0" fontId="10" fillId="33" borderId="20" xfId="0" applyFont="1" applyFill="1" applyBorder="1" applyAlignment="1" applyProtection="1">
      <alignment horizontal="center"/>
      <protection/>
    </xf>
    <xf numFmtId="0" fontId="2" fillId="34" borderId="48" xfId="0" applyFont="1" applyFill="1" applyBorder="1" applyAlignment="1" applyProtection="1">
      <alignment vertical="center" wrapText="1"/>
      <protection/>
    </xf>
    <xf numFmtId="0" fontId="2" fillId="34" borderId="26" xfId="0" applyFont="1" applyFill="1" applyBorder="1" applyAlignment="1" applyProtection="1">
      <alignment wrapText="1"/>
      <protection/>
    </xf>
    <xf numFmtId="44" fontId="9" fillId="34" borderId="26" xfId="45" applyFont="1" applyFill="1" applyBorder="1" applyAlignment="1" applyProtection="1">
      <alignment shrinkToFit="1"/>
      <protection/>
    </xf>
    <xf numFmtId="10" fontId="10" fillId="34" borderId="26" xfId="45" applyNumberFormat="1" applyFont="1" applyFill="1" applyBorder="1" applyAlignment="1" applyProtection="1">
      <alignment horizontal="center"/>
      <protection/>
    </xf>
    <xf numFmtId="44" fontId="9" fillId="34" borderId="26" xfId="45" applyFont="1" applyFill="1" applyBorder="1" applyAlignment="1" applyProtection="1">
      <alignment/>
      <protection/>
    </xf>
    <xf numFmtId="44" fontId="9" fillId="34" borderId="49" xfId="45" applyFont="1" applyFill="1" applyBorder="1" applyAlignment="1" applyProtection="1">
      <alignment/>
      <protection/>
    </xf>
    <xf numFmtId="0" fontId="3" fillId="33" borderId="30" xfId="0" applyFont="1" applyFill="1" applyBorder="1" applyAlignment="1" applyProtection="1">
      <alignment horizontal="center" vertical="center" wrapText="1" shrinkToFit="1"/>
      <protection/>
    </xf>
    <xf numFmtId="10" fontId="3" fillId="33" borderId="15" xfId="0" applyNumberFormat="1" applyFont="1" applyFill="1" applyBorder="1" applyAlignment="1" applyProtection="1">
      <alignment horizontal="center" vertical="center"/>
      <protection/>
    </xf>
    <xf numFmtId="0" fontId="2" fillId="34" borderId="30" xfId="0" applyFont="1" applyFill="1" applyBorder="1" applyAlignment="1" applyProtection="1">
      <alignment vertical="center"/>
      <protection/>
    </xf>
    <xf numFmtId="0" fontId="2" fillId="34" borderId="30" xfId="0" applyFont="1" applyFill="1" applyBorder="1" applyAlignment="1" applyProtection="1">
      <alignment vertical="center" wrapText="1"/>
      <protection/>
    </xf>
    <xf numFmtId="0" fontId="3" fillId="33" borderId="48"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2" fillId="33" borderId="47" xfId="0" applyFont="1" applyFill="1" applyBorder="1" applyAlignment="1" applyProtection="1">
      <alignment/>
      <protection/>
    </xf>
    <xf numFmtId="0" fontId="10" fillId="33" borderId="16" xfId="0" applyFont="1" applyFill="1" applyBorder="1" applyAlignment="1" applyProtection="1">
      <alignment horizontal="center"/>
      <protection/>
    </xf>
    <xf numFmtId="0" fontId="0" fillId="34" borderId="24" xfId="0" applyFill="1" applyBorder="1" applyAlignment="1" applyProtection="1">
      <alignment/>
      <protection/>
    </xf>
    <xf numFmtId="0" fontId="2" fillId="34" borderId="50" xfId="0" applyFont="1" applyFill="1" applyBorder="1" applyAlignment="1" applyProtection="1">
      <alignment vertical="center" wrapText="1" shrinkToFit="1"/>
      <protection/>
    </xf>
    <xf numFmtId="0" fontId="2" fillId="34" borderId="18" xfId="0" applyFont="1" applyFill="1" applyBorder="1" applyAlignment="1" applyProtection="1">
      <alignment vertical="center" wrapText="1" shrinkToFit="1"/>
      <protection/>
    </xf>
    <xf numFmtId="0" fontId="2" fillId="34" borderId="51" xfId="0" applyFont="1" applyFill="1" applyBorder="1" applyAlignment="1" applyProtection="1">
      <alignment vertical="center" wrapText="1" shrinkToFit="1"/>
      <protection/>
    </xf>
    <xf numFmtId="0" fontId="2" fillId="34" borderId="52" xfId="0" applyFont="1" applyFill="1" applyBorder="1" applyAlignment="1" applyProtection="1">
      <alignment vertical="center" wrapText="1" shrinkToFit="1"/>
      <protection/>
    </xf>
    <xf numFmtId="0" fontId="2" fillId="34" borderId="52" xfId="0" applyFont="1" applyFill="1" applyBorder="1" applyAlignment="1" applyProtection="1">
      <alignment vertical="center" wrapText="1"/>
      <protection/>
    </xf>
    <xf numFmtId="0" fontId="2" fillId="0" borderId="18" xfId="0" applyFont="1" applyBorder="1" applyAlignment="1" applyProtection="1">
      <alignment/>
      <protection/>
    </xf>
    <xf numFmtId="0" fontId="6" fillId="34" borderId="0" xfId="0" applyFont="1" applyFill="1" applyBorder="1" applyAlignment="1" applyProtection="1">
      <alignment/>
      <protection/>
    </xf>
    <xf numFmtId="167" fontId="2" fillId="34" borderId="12" xfId="0" applyNumberFormat="1" applyFont="1" applyFill="1" applyBorder="1" applyAlignment="1" applyProtection="1">
      <alignment horizontal="center"/>
      <protection/>
    </xf>
    <xf numFmtId="168" fontId="2" fillId="34" borderId="12" xfId="0" applyNumberFormat="1" applyFont="1" applyFill="1" applyBorder="1" applyAlignment="1" applyProtection="1">
      <alignment horizontal="center"/>
      <protection/>
    </xf>
    <xf numFmtId="10" fontId="2" fillId="34" borderId="12" xfId="45" applyNumberFormat="1" applyFont="1" applyFill="1" applyBorder="1" applyAlignment="1" applyProtection="1">
      <alignment horizontal="center"/>
      <protection/>
    </xf>
    <xf numFmtId="2" fontId="2" fillId="34" borderId="12" xfId="0" applyNumberFormat="1" applyFont="1" applyFill="1" applyBorder="1" applyAlignment="1" applyProtection="1">
      <alignment horizontal="center"/>
      <protection/>
    </xf>
    <xf numFmtId="164" fontId="2" fillId="34" borderId="12" xfId="0" applyNumberFormat="1" applyFont="1" applyFill="1" applyBorder="1" applyAlignment="1" applyProtection="1">
      <alignment vertical="center"/>
      <protection/>
    </xf>
    <xf numFmtId="165" fontId="2" fillId="34" borderId="12" xfId="45" applyNumberFormat="1" applyFont="1" applyFill="1" applyBorder="1" applyAlignment="1" applyProtection="1">
      <alignment horizontal="center"/>
      <protection/>
    </xf>
    <xf numFmtId="10" fontId="2" fillId="34" borderId="12" xfId="45" applyNumberFormat="1" applyFont="1" applyFill="1" applyBorder="1" applyAlignment="1" applyProtection="1">
      <alignment horizontal="center" vertical="center"/>
      <protection/>
    </xf>
    <xf numFmtId="0" fontId="2" fillId="33" borderId="47" xfId="0" applyFont="1" applyFill="1" applyBorder="1" applyAlignment="1">
      <alignment horizontal="right"/>
    </xf>
    <xf numFmtId="0" fontId="2" fillId="33" borderId="24" xfId="0" applyFont="1" applyFill="1" applyBorder="1" applyAlignment="1">
      <alignment/>
    </xf>
    <xf numFmtId="0" fontId="0" fillId="33" borderId="24" xfId="0" applyFont="1" applyFill="1" applyBorder="1" applyAlignment="1">
      <alignment/>
    </xf>
    <xf numFmtId="171" fontId="2" fillId="33" borderId="12" xfId="0" applyNumberFormat="1" applyFont="1" applyFill="1" applyBorder="1" applyAlignment="1">
      <alignment/>
    </xf>
    <xf numFmtId="0" fontId="0" fillId="34" borderId="12" xfId="0" applyFill="1" applyBorder="1" applyAlignment="1">
      <alignment/>
    </xf>
    <xf numFmtId="164" fontId="2" fillId="34" borderId="31" xfId="0" applyNumberFormat="1" applyFont="1" applyFill="1" applyBorder="1" applyAlignment="1">
      <alignment horizontal="center" vertical="center"/>
    </xf>
    <xf numFmtId="8" fontId="2" fillId="34" borderId="12" xfId="0" applyNumberFormat="1" applyFont="1" applyFill="1" applyBorder="1" applyAlignment="1">
      <alignment horizontal="center" vertical="center"/>
    </xf>
    <xf numFmtId="10" fontId="2" fillId="34" borderId="12" xfId="0" applyNumberFormat="1" applyFont="1" applyFill="1" applyBorder="1" applyAlignment="1">
      <alignment horizontal="center" vertical="center"/>
    </xf>
    <xf numFmtId="2" fontId="2" fillId="34" borderId="12" xfId="0" applyNumberFormat="1" applyFont="1" applyFill="1" applyBorder="1" applyAlignment="1">
      <alignment horizontal="center" vertical="center"/>
    </xf>
    <xf numFmtId="0" fontId="2" fillId="34" borderId="12" xfId="0" applyFont="1" applyFill="1" applyBorder="1" applyAlignment="1">
      <alignment horizontal="center" vertical="center"/>
    </xf>
    <xf numFmtId="164" fontId="2" fillId="34" borderId="12" xfId="0" applyNumberFormat="1" applyFont="1" applyFill="1" applyBorder="1" applyAlignment="1">
      <alignment horizontal="center" vertical="center"/>
    </xf>
    <xf numFmtId="164" fontId="2" fillId="34" borderId="47" xfId="0" applyNumberFormat="1" applyFont="1" applyFill="1" applyBorder="1" applyAlignment="1">
      <alignment horizontal="center" vertical="center"/>
    </xf>
    <xf numFmtId="1" fontId="2" fillId="34" borderId="15" xfId="0" applyNumberFormat="1" applyFont="1" applyFill="1" applyBorder="1" applyAlignment="1">
      <alignment horizontal="center" vertical="center"/>
    </xf>
    <xf numFmtId="1" fontId="2" fillId="34" borderId="12" xfId="0" applyNumberFormat="1" applyFont="1" applyFill="1" applyBorder="1" applyAlignment="1">
      <alignment horizontal="center" vertical="center"/>
    </xf>
    <xf numFmtId="0" fontId="0" fillId="33" borderId="12" xfId="0" applyFont="1" applyFill="1" applyBorder="1" applyAlignment="1">
      <alignment/>
    </xf>
    <xf numFmtId="0" fontId="2" fillId="33" borderId="12" xfId="0" applyFont="1" applyFill="1" applyBorder="1" applyAlignment="1">
      <alignment wrapText="1"/>
    </xf>
    <xf numFmtId="0" fontId="2" fillId="33" borderId="47" xfId="0" applyFont="1" applyFill="1" applyBorder="1" applyAlignment="1">
      <alignment/>
    </xf>
    <xf numFmtId="0" fontId="5" fillId="33" borderId="12" xfId="0" applyFont="1" applyFill="1" applyBorder="1" applyAlignment="1">
      <alignment wrapText="1"/>
    </xf>
    <xf numFmtId="0" fontId="2" fillId="33" borderId="30" xfId="0" applyFont="1" applyFill="1" applyBorder="1" applyAlignment="1">
      <alignment/>
    </xf>
    <xf numFmtId="0" fontId="2" fillId="33" borderId="12" xfId="0" applyFont="1" applyFill="1" applyBorder="1" applyAlignment="1">
      <alignment horizontal="center"/>
    </xf>
    <xf numFmtId="0" fontId="2" fillId="33" borderId="30" xfId="0" applyFont="1" applyFill="1" applyBorder="1" applyAlignment="1">
      <alignment horizontal="center"/>
    </xf>
    <xf numFmtId="8" fontId="2" fillId="34" borderId="12" xfId="0" applyNumberFormat="1" applyFont="1" applyFill="1" applyBorder="1" applyAlignment="1">
      <alignment horizontal="center" vertical="center"/>
    </xf>
    <xf numFmtId="10" fontId="2" fillId="34" borderId="12" xfId="0" applyNumberFormat="1" applyFont="1" applyFill="1" applyBorder="1" applyAlignment="1">
      <alignment horizontal="center" vertical="center"/>
    </xf>
    <xf numFmtId="2" fontId="2" fillId="34" borderId="12" xfId="0" applyNumberFormat="1" applyFont="1" applyFill="1" applyBorder="1" applyAlignment="1">
      <alignment horizontal="center" vertical="center"/>
    </xf>
    <xf numFmtId="0" fontId="2" fillId="34" borderId="12" xfId="0" applyFont="1" applyFill="1" applyBorder="1" applyAlignment="1">
      <alignment horizontal="center" vertical="center"/>
    </xf>
    <xf numFmtId="164" fontId="2" fillId="34" borderId="12" xfId="0" applyNumberFormat="1" applyFont="1" applyFill="1" applyBorder="1" applyAlignment="1">
      <alignment horizontal="center" vertical="center"/>
    </xf>
    <xf numFmtId="164" fontId="2" fillId="34" borderId="47" xfId="0" applyNumberFormat="1" applyFont="1" applyFill="1" applyBorder="1" applyAlignment="1">
      <alignment horizontal="center" vertical="center"/>
    </xf>
    <xf numFmtId="1" fontId="2" fillId="34" borderId="12" xfId="0" applyNumberFormat="1" applyFont="1" applyFill="1" applyBorder="1" applyAlignment="1">
      <alignment horizontal="center" vertical="center"/>
    </xf>
    <xf numFmtId="0" fontId="2" fillId="33" borderId="53" xfId="0" applyFont="1" applyFill="1" applyBorder="1" applyAlignment="1">
      <alignment horizontal="center"/>
    </xf>
    <xf numFmtId="0" fontId="2" fillId="33" borderId="54" xfId="0" applyFont="1" applyFill="1" applyBorder="1" applyAlignment="1">
      <alignment horizontal="center"/>
    </xf>
    <xf numFmtId="0" fontId="0" fillId="0" borderId="55" xfId="0" applyBorder="1" applyAlignment="1">
      <alignment/>
    </xf>
    <xf numFmtId="0" fontId="0" fillId="0" borderId="56" xfId="0" applyBorder="1" applyAlignment="1">
      <alignment/>
    </xf>
    <xf numFmtId="172" fontId="2" fillId="34" borderId="12" xfId="0" applyNumberFormat="1" applyFont="1" applyFill="1" applyBorder="1" applyAlignment="1" applyProtection="1">
      <alignment horizontal="center"/>
      <protection/>
    </xf>
    <xf numFmtId="8" fontId="26" fillId="0" borderId="23" xfId="0" applyNumberFormat="1" applyFont="1" applyBorder="1" applyAlignment="1">
      <alignment/>
    </xf>
    <xf numFmtId="8" fontId="26" fillId="0" borderId="37" xfId="0" applyNumberFormat="1" applyFont="1" applyBorder="1" applyAlignment="1">
      <alignment/>
    </xf>
    <xf numFmtId="8" fontId="26" fillId="0" borderId="57" xfId="0" applyNumberFormat="1" applyFont="1" applyBorder="1" applyAlignment="1">
      <alignment/>
    </xf>
    <xf numFmtId="44" fontId="2" fillId="33" borderId="28" xfId="0" applyNumberFormat="1" applyFont="1" applyFill="1" applyBorder="1" applyAlignment="1">
      <alignment horizontal="center"/>
    </xf>
    <xf numFmtId="8" fontId="2" fillId="0" borderId="0" xfId="0" applyNumberFormat="1" applyFont="1" applyBorder="1" applyAlignment="1">
      <alignment/>
    </xf>
    <xf numFmtId="0" fontId="12" fillId="0" borderId="0" xfId="0" applyFont="1" applyBorder="1" applyAlignment="1">
      <alignment/>
    </xf>
    <xf numFmtId="0" fontId="2" fillId="33" borderId="27" xfId="0" applyFont="1" applyFill="1" applyBorder="1" applyAlignment="1">
      <alignment horizontal="right"/>
    </xf>
    <xf numFmtId="0" fontId="2" fillId="33" borderId="30" xfId="0" applyFont="1" applyFill="1" applyBorder="1" applyAlignment="1">
      <alignment horizontal="right"/>
    </xf>
    <xf numFmtId="0" fontId="2" fillId="33" borderId="39" xfId="0" applyFont="1" applyFill="1" applyBorder="1" applyAlignment="1">
      <alignment horizontal="right"/>
    </xf>
    <xf numFmtId="0" fontId="2" fillId="33" borderId="15" xfId="0" applyFont="1" applyFill="1" applyBorder="1" applyAlignment="1">
      <alignment horizontal="right"/>
    </xf>
    <xf numFmtId="44" fontId="2" fillId="33" borderId="31" xfId="0" applyNumberFormat="1" applyFont="1" applyFill="1" applyBorder="1" applyAlignment="1">
      <alignment horizontal="center"/>
    </xf>
    <xf numFmtId="44" fontId="2" fillId="33" borderId="58" xfId="0" applyNumberFormat="1" applyFont="1" applyFill="1" applyBorder="1" applyAlignment="1">
      <alignment vertical="center"/>
    </xf>
    <xf numFmtId="0" fontId="2" fillId="0" borderId="12" xfId="0" applyFont="1" applyBorder="1" applyAlignment="1">
      <alignment horizontal="right"/>
    </xf>
    <xf numFmtId="0" fontId="0" fillId="0" borderId="48" xfId="0" applyBorder="1" applyAlignment="1">
      <alignment/>
    </xf>
    <xf numFmtId="0" fontId="0" fillId="0" borderId="26" xfId="0" applyBorder="1" applyAlignment="1">
      <alignment/>
    </xf>
    <xf numFmtId="0" fontId="0" fillId="0" borderId="49" xfId="0" applyBorder="1" applyAlignment="1">
      <alignment/>
    </xf>
    <xf numFmtId="0" fontId="0" fillId="0" borderId="0" xfId="0" applyFont="1" applyBorder="1" applyAlignment="1">
      <alignment horizontal="center"/>
    </xf>
    <xf numFmtId="0" fontId="0" fillId="0" borderId="0" xfId="0" applyFont="1" applyBorder="1" applyAlignment="1">
      <alignment/>
    </xf>
    <xf numFmtId="2" fontId="0" fillId="0" borderId="0" xfId="0" applyNumberFormat="1" applyBorder="1" applyAlignment="1">
      <alignment horizontal="center"/>
    </xf>
    <xf numFmtId="0" fontId="0" fillId="0" borderId="19" xfId="0" applyBorder="1" applyAlignment="1">
      <alignment/>
    </xf>
    <xf numFmtId="0" fontId="0" fillId="0" borderId="20" xfId="0" applyBorder="1" applyAlignment="1">
      <alignment/>
    </xf>
    <xf numFmtId="0" fontId="0" fillId="0" borderId="44" xfId="0" applyBorder="1" applyAlignment="1">
      <alignment/>
    </xf>
    <xf numFmtId="0" fontId="0" fillId="0" borderId="30" xfId="0" applyFont="1" applyBorder="1" applyAlignment="1">
      <alignment/>
    </xf>
    <xf numFmtId="0" fontId="0" fillId="0" borderId="15" xfId="0" applyBorder="1" applyAlignment="1">
      <alignment/>
    </xf>
    <xf numFmtId="0" fontId="0" fillId="0" borderId="20" xfId="0" applyBorder="1" applyAlignment="1">
      <alignment horizontal="center"/>
    </xf>
    <xf numFmtId="0" fontId="0" fillId="0" borderId="0" xfId="0" applyFont="1" applyBorder="1" applyAlignment="1">
      <alignment horizontal="center"/>
    </xf>
    <xf numFmtId="0" fontId="0" fillId="0" borderId="20" xfId="0" applyFont="1" applyBorder="1" applyAlignment="1">
      <alignment horizontal="center"/>
    </xf>
    <xf numFmtId="0" fontId="0" fillId="0" borderId="18" xfId="0" applyFont="1" applyBorder="1" applyAlignment="1">
      <alignment/>
    </xf>
    <xf numFmtId="0" fontId="2" fillId="38" borderId="48" xfId="0" applyFont="1" applyFill="1" applyBorder="1" applyAlignment="1" applyProtection="1">
      <alignment horizontal="left"/>
      <protection/>
    </xf>
    <xf numFmtId="0" fontId="0" fillId="38" borderId="26" xfId="0" applyFill="1" applyBorder="1" applyAlignment="1">
      <alignment/>
    </xf>
    <xf numFmtId="0" fontId="0" fillId="38" borderId="49" xfId="0" applyFill="1" applyBorder="1" applyAlignment="1">
      <alignment/>
    </xf>
    <xf numFmtId="0" fontId="0" fillId="38" borderId="47" xfId="0" applyFont="1" applyFill="1" applyBorder="1" applyAlignment="1">
      <alignment horizontal="center"/>
    </xf>
    <xf numFmtId="0" fontId="0" fillId="38" borderId="0" xfId="0" applyFill="1" applyBorder="1" applyAlignment="1">
      <alignment/>
    </xf>
    <xf numFmtId="0" fontId="0" fillId="38" borderId="29" xfId="0" applyFill="1" applyBorder="1" applyAlignment="1">
      <alignment/>
    </xf>
    <xf numFmtId="0" fontId="0" fillId="38" borderId="16" xfId="0" applyFont="1" applyFill="1" applyBorder="1" applyAlignment="1">
      <alignment horizontal="center"/>
    </xf>
    <xf numFmtId="0" fontId="0" fillId="38" borderId="19" xfId="0" applyFill="1" applyBorder="1" applyAlignment="1">
      <alignment/>
    </xf>
    <xf numFmtId="0" fontId="0" fillId="38" borderId="20" xfId="0" applyFill="1" applyBorder="1" applyAlignment="1">
      <alignment/>
    </xf>
    <xf numFmtId="0" fontId="0" fillId="38" borderId="44" xfId="0" applyFill="1" applyBorder="1" applyAlignment="1">
      <alignment/>
    </xf>
    <xf numFmtId="0" fontId="2" fillId="38" borderId="48" xfId="0" applyFont="1" applyFill="1" applyBorder="1" applyAlignment="1">
      <alignment/>
    </xf>
    <xf numFmtId="0" fontId="0" fillId="38" borderId="18" xfId="0" applyFill="1" applyBorder="1" applyAlignment="1">
      <alignment/>
    </xf>
    <xf numFmtId="0" fontId="0" fillId="38" borderId="0" xfId="0" applyFont="1" applyFill="1" applyBorder="1" applyAlignment="1">
      <alignment horizontal="center"/>
    </xf>
    <xf numFmtId="0" fontId="0" fillId="38" borderId="29" xfId="0" applyFont="1" applyFill="1" applyBorder="1" applyAlignment="1">
      <alignment horizontal="center"/>
    </xf>
    <xf numFmtId="0" fontId="0" fillId="38" borderId="47" xfId="0" applyFill="1" applyBorder="1" applyAlignment="1">
      <alignment horizontal="center"/>
    </xf>
    <xf numFmtId="0" fontId="0" fillId="38" borderId="24" xfId="0" applyFill="1" applyBorder="1" applyAlignment="1">
      <alignment horizontal="center"/>
    </xf>
    <xf numFmtId="0" fontId="0" fillId="0" borderId="30" xfId="0" applyFont="1" applyBorder="1" applyAlignment="1">
      <alignment/>
    </xf>
    <xf numFmtId="0" fontId="0" fillId="0" borderId="29" xfId="0" applyFont="1" applyBorder="1" applyAlignment="1">
      <alignment horizontal="center"/>
    </xf>
    <xf numFmtId="0" fontId="0" fillId="38" borderId="47" xfId="0" applyFont="1" applyFill="1" applyBorder="1" applyAlignment="1">
      <alignment horizontal="center"/>
    </xf>
    <xf numFmtId="0" fontId="0" fillId="38" borderId="24" xfId="0" applyFont="1" applyFill="1" applyBorder="1" applyAlignment="1">
      <alignment horizontal="center"/>
    </xf>
    <xf numFmtId="0" fontId="0" fillId="38" borderId="20" xfId="0" applyFont="1" applyFill="1" applyBorder="1" applyAlignment="1">
      <alignment horizontal="center"/>
    </xf>
    <xf numFmtId="0" fontId="0" fillId="38" borderId="44" xfId="0" applyFont="1" applyFill="1" applyBorder="1" applyAlignment="1">
      <alignment horizontal="center"/>
    </xf>
    <xf numFmtId="10" fontId="0" fillId="0" borderId="0" xfId="0" applyNumberFormat="1" applyBorder="1" applyAlignment="1">
      <alignment horizontal="center"/>
    </xf>
    <xf numFmtId="10" fontId="0" fillId="0" borderId="20" xfId="0" applyNumberFormat="1" applyBorder="1" applyAlignment="1">
      <alignment horizontal="center"/>
    </xf>
    <xf numFmtId="0" fontId="0" fillId="38" borderId="26" xfId="0" applyFont="1" applyFill="1" applyBorder="1" applyAlignment="1">
      <alignment horizontal="center"/>
    </xf>
    <xf numFmtId="167" fontId="2" fillId="34" borderId="0" xfId="0" applyNumberFormat="1" applyFont="1" applyFill="1" applyBorder="1" applyAlignment="1" applyProtection="1">
      <alignment horizontal="right"/>
      <protection/>
    </xf>
    <xf numFmtId="0" fontId="0" fillId="38" borderId="18" xfId="0" applyFont="1" applyFill="1" applyBorder="1" applyAlignment="1">
      <alignment/>
    </xf>
    <xf numFmtId="0" fontId="0" fillId="38" borderId="19" xfId="0" applyFont="1" applyFill="1" applyBorder="1" applyAlignment="1">
      <alignment/>
    </xf>
    <xf numFmtId="2" fontId="0" fillId="0" borderId="31" xfId="0" applyNumberFormat="1" applyBorder="1" applyAlignment="1">
      <alignment horizontal="center"/>
    </xf>
    <xf numFmtId="0" fontId="0" fillId="38" borderId="16" xfId="0" applyFont="1" applyFill="1" applyBorder="1" applyAlignment="1">
      <alignment horizontal="center"/>
    </xf>
    <xf numFmtId="0" fontId="0" fillId="0" borderId="15" xfId="0" applyFont="1" applyBorder="1" applyAlignment="1">
      <alignment horizontal="center"/>
    </xf>
    <xf numFmtId="175" fontId="0" fillId="34" borderId="0" xfId="0" applyNumberFormat="1" applyFont="1" applyFill="1" applyBorder="1" applyAlignment="1" applyProtection="1">
      <alignment horizontal="center"/>
      <protection/>
    </xf>
    <xf numFmtId="0" fontId="0" fillId="0" borderId="0" xfId="0" applyFont="1" applyBorder="1" applyAlignment="1">
      <alignment/>
    </xf>
    <xf numFmtId="0" fontId="0" fillId="0" borderId="18" xfId="0" applyFont="1" applyBorder="1" applyAlignment="1">
      <alignment/>
    </xf>
    <xf numFmtId="0" fontId="0" fillId="0" borderId="19" xfId="0" applyFont="1" applyBorder="1" applyAlignment="1">
      <alignment/>
    </xf>
    <xf numFmtId="0" fontId="2" fillId="38" borderId="30" xfId="0" applyFont="1" applyFill="1" applyBorder="1" applyAlignment="1">
      <alignment/>
    </xf>
    <xf numFmtId="0" fontId="0" fillId="38" borderId="15" xfId="0" applyFill="1" applyBorder="1" applyAlignment="1">
      <alignment/>
    </xf>
    <xf numFmtId="0" fontId="0" fillId="38" borderId="31" xfId="0" applyFill="1" applyBorder="1" applyAlignment="1">
      <alignment/>
    </xf>
    <xf numFmtId="176" fontId="0" fillId="34" borderId="0" xfId="0" applyNumberFormat="1" applyFont="1" applyFill="1" applyBorder="1" applyAlignment="1" applyProtection="1">
      <alignment horizontal="right" vertical="center"/>
      <protection/>
    </xf>
    <xf numFmtId="176" fontId="0" fillId="34" borderId="20" xfId="0" applyNumberFormat="1" applyFont="1" applyFill="1" applyBorder="1" applyAlignment="1" applyProtection="1">
      <alignment horizontal="right" vertical="center"/>
      <protection/>
    </xf>
    <xf numFmtId="0" fontId="2" fillId="0" borderId="18" xfId="0" applyFont="1" applyFill="1" applyBorder="1" applyAlignment="1">
      <alignment horizontal="center"/>
    </xf>
    <xf numFmtId="0" fontId="2" fillId="0" borderId="29" xfId="0" applyFont="1" applyFill="1" applyBorder="1" applyAlignment="1">
      <alignment horizontal="center"/>
    </xf>
    <xf numFmtId="44" fontId="2" fillId="0" borderId="18" xfId="59" applyFont="1" applyBorder="1" applyAlignment="1">
      <alignment/>
    </xf>
    <xf numFmtId="0" fontId="2" fillId="0" borderId="18" xfId="0" applyFont="1" applyBorder="1" applyAlignment="1">
      <alignment/>
    </xf>
    <xf numFmtId="0" fontId="2" fillId="0" borderId="29" xfId="0" applyFont="1" applyBorder="1" applyAlignment="1">
      <alignment/>
    </xf>
    <xf numFmtId="0" fontId="0" fillId="0" borderId="0" xfId="0" applyFont="1" applyFill="1" applyBorder="1" applyAlignment="1">
      <alignment horizontal="center"/>
    </xf>
    <xf numFmtId="0" fontId="0" fillId="0" borderId="0" xfId="0" applyFont="1" applyAlignment="1">
      <alignment horizontal="center"/>
    </xf>
    <xf numFmtId="0" fontId="0" fillId="0" borderId="0" xfId="0" applyFont="1" applyFill="1" applyBorder="1" applyAlignment="1">
      <alignment/>
    </xf>
    <xf numFmtId="2" fontId="0" fillId="0" borderId="0" xfId="0" applyNumberFormat="1" applyAlignment="1">
      <alignment horizontal="center"/>
    </xf>
    <xf numFmtId="2" fontId="0" fillId="0" borderId="12" xfId="0" applyNumberFormat="1" applyBorder="1" applyAlignment="1">
      <alignment horizontal="center"/>
    </xf>
    <xf numFmtId="0" fontId="0" fillId="0" borderId="30" xfId="0" applyFill="1" applyBorder="1" applyAlignment="1">
      <alignment/>
    </xf>
    <xf numFmtId="0" fontId="0" fillId="0" borderId="31" xfId="0" applyFill="1" applyBorder="1" applyAlignment="1">
      <alignment/>
    </xf>
    <xf numFmtId="44" fontId="2" fillId="38" borderId="27" xfId="0" applyNumberFormat="1" applyFont="1" applyFill="1" applyBorder="1" applyAlignment="1">
      <alignment/>
    </xf>
    <xf numFmtId="0" fontId="0" fillId="38" borderId="15" xfId="0" applyFont="1" applyFill="1" applyBorder="1" applyAlignment="1">
      <alignment horizontal="left"/>
    </xf>
    <xf numFmtId="0" fontId="0" fillId="0" borderId="0" xfId="0" applyFill="1" applyBorder="1" applyAlignment="1">
      <alignment horizontal="center"/>
    </xf>
    <xf numFmtId="44" fontId="0" fillId="0" borderId="0" xfId="59" applyFont="1" applyAlignment="1">
      <alignment horizontal="center"/>
    </xf>
    <xf numFmtId="44" fontId="0" fillId="0" borderId="0" xfId="0" applyNumberFormat="1" applyAlignment="1">
      <alignment horizontal="center"/>
    </xf>
    <xf numFmtId="44" fontId="2" fillId="38" borderId="21" xfId="0" applyNumberFormat="1" applyFont="1" applyFill="1" applyBorder="1" applyAlignment="1">
      <alignment horizontal="center"/>
    </xf>
    <xf numFmtId="177" fontId="2" fillId="38" borderId="21" xfId="0" applyNumberFormat="1" applyFont="1" applyFill="1" applyBorder="1" applyAlignment="1">
      <alignment/>
    </xf>
    <xf numFmtId="177" fontId="2" fillId="0" borderId="29" xfId="59" applyNumberFormat="1" applyFont="1" applyBorder="1" applyAlignment="1">
      <alignment/>
    </xf>
    <xf numFmtId="177" fontId="2" fillId="0" borderId="29" xfId="0" applyNumberFormat="1" applyFont="1" applyBorder="1" applyAlignment="1">
      <alignment/>
    </xf>
    <xf numFmtId="0" fontId="2" fillId="38" borderId="12" xfId="0" applyFont="1" applyFill="1" applyBorder="1" applyAlignment="1">
      <alignment horizontal="center"/>
    </xf>
    <xf numFmtId="44" fontId="0" fillId="0" borderId="0" xfId="59" applyFont="1" applyAlignment="1">
      <alignment/>
    </xf>
    <xf numFmtId="0" fontId="0" fillId="34" borderId="0" xfId="0" applyFont="1" applyFill="1" applyAlignment="1" applyProtection="1">
      <alignment horizontal="right"/>
      <protection/>
    </xf>
    <xf numFmtId="167" fontId="2" fillId="34" borderId="12" xfId="0" applyNumberFormat="1" applyFont="1" applyFill="1" applyBorder="1" applyAlignment="1" applyProtection="1">
      <alignment horizontal="right"/>
      <protection/>
    </xf>
    <xf numFmtId="0" fontId="0" fillId="0" borderId="29" xfId="0" applyBorder="1" applyAlignment="1" applyProtection="1">
      <alignment/>
      <protection/>
    </xf>
    <xf numFmtId="10" fontId="2" fillId="37" borderId="45" xfId="45" applyNumberFormat="1" applyFont="1" applyFill="1" applyBorder="1" applyAlignment="1" applyProtection="1">
      <alignment horizontal="center" vertical="center"/>
      <protection locked="0"/>
    </xf>
    <xf numFmtId="0" fontId="0" fillId="38" borderId="49" xfId="0" applyFont="1" applyFill="1" applyBorder="1" applyAlignment="1">
      <alignment horizontal="center"/>
    </xf>
    <xf numFmtId="178" fontId="2" fillId="34" borderId="12" xfId="0" applyNumberFormat="1" applyFont="1" applyFill="1" applyBorder="1" applyAlignment="1" applyProtection="1">
      <alignment horizontal="center" vertical="center"/>
      <protection/>
    </xf>
    <xf numFmtId="178" fontId="2" fillId="34" borderId="24" xfId="0" applyNumberFormat="1" applyFont="1" applyFill="1" applyBorder="1" applyAlignment="1" applyProtection="1">
      <alignment horizontal="center" vertical="center"/>
      <protection/>
    </xf>
    <xf numFmtId="0" fontId="73" fillId="0" borderId="0" xfId="0" applyFont="1" applyAlignment="1">
      <alignment/>
    </xf>
    <xf numFmtId="0" fontId="0" fillId="0" borderId="0" xfId="0" applyNumberFormat="1" applyFont="1" applyAlignment="1">
      <alignment/>
    </xf>
    <xf numFmtId="0" fontId="0" fillId="7" borderId="12" xfId="0" applyFill="1" applyBorder="1" applyAlignment="1" applyProtection="1">
      <alignment horizontal="center"/>
      <protection locked="0"/>
    </xf>
    <xf numFmtId="2" fontId="0" fillId="7" borderId="15" xfId="0" applyNumberFormat="1" applyFill="1" applyBorder="1" applyAlignment="1" applyProtection="1">
      <alignment horizontal="center"/>
      <protection locked="0"/>
    </xf>
    <xf numFmtId="2" fontId="0" fillId="7" borderId="12" xfId="0" applyNumberFormat="1" applyFill="1" applyBorder="1" applyAlignment="1" applyProtection="1">
      <alignment horizontal="center"/>
      <protection locked="0"/>
    </xf>
    <xf numFmtId="0" fontId="0" fillId="7" borderId="15" xfId="0" applyFill="1" applyBorder="1" applyAlignment="1" applyProtection="1">
      <alignment/>
      <protection locked="0"/>
    </xf>
    <xf numFmtId="0" fontId="0" fillId="7" borderId="12" xfId="0" applyFont="1" applyFill="1" applyBorder="1" applyAlignment="1" applyProtection="1">
      <alignment horizontal="center"/>
      <protection locked="0"/>
    </xf>
    <xf numFmtId="0" fontId="0" fillId="7" borderId="31" xfId="0" applyFill="1" applyBorder="1" applyAlignment="1" applyProtection="1">
      <alignment horizontal="center"/>
      <protection locked="0"/>
    </xf>
    <xf numFmtId="2" fontId="0" fillId="7" borderId="12" xfId="0" applyNumberFormat="1" applyFill="1" applyBorder="1" applyAlignment="1" applyProtection="1">
      <alignment/>
      <protection locked="0"/>
    </xf>
    <xf numFmtId="10" fontId="2" fillId="0" borderId="12" xfId="0" applyNumberFormat="1" applyFont="1" applyFill="1" applyBorder="1" applyAlignment="1">
      <alignment horizontal="center"/>
    </xf>
    <xf numFmtId="179" fontId="2" fillId="19" borderId="21" xfId="0" applyNumberFormat="1" applyFont="1" applyFill="1" applyBorder="1" applyAlignment="1" applyProtection="1">
      <alignment horizontal="center"/>
      <protection locked="0"/>
    </xf>
    <xf numFmtId="0" fontId="0" fillId="34" borderId="0" xfId="0" applyFont="1" applyFill="1" applyAlignment="1" applyProtection="1">
      <alignment/>
      <protection/>
    </xf>
    <xf numFmtId="170" fontId="0" fillId="34" borderId="0" xfId="0" applyNumberFormat="1" applyFont="1" applyFill="1" applyAlignment="1" applyProtection="1">
      <alignment/>
      <protection/>
    </xf>
    <xf numFmtId="2" fontId="0" fillId="34" borderId="0" xfId="0" applyNumberFormat="1" applyFont="1" applyFill="1" applyAlignment="1" applyProtection="1">
      <alignment/>
      <protection/>
    </xf>
    <xf numFmtId="0" fontId="2" fillId="34" borderId="0" xfId="0" applyFont="1" applyFill="1" applyBorder="1" applyAlignment="1" applyProtection="1">
      <alignment/>
      <protection/>
    </xf>
    <xf numFmtId="0" fontId="0" fillId="34" borderId="29" xfId="0" applyFont="1" applyFill="1" applyBorder="1" applyAlignment="1" applyProtection="1">
      <alignment/>
      <protection/>
    </xf>
    <xf numFmtId="0" fontId="0" fillId="0" borderId="0" xfId="0" applyFont="1" applyAlignment="1" applyProtection="1">
      <alignment/>
      <protection/>
    </xf>
    <xf numFmtId="0" fontId="0" fillId="34" borderId="0" xfId="0" applyFont="1" applyFill="1" applyBorder="1" applyAlignment="1" applyProtection="1">
      <alignment/>
      <protection hidden="1"/>
    </xf>
    <xf numFmtId="164" fontId="0" fillId="34" borderId="0" xfId="0" applyNumberFormat="1" applyFont="1" applyFill="1" applyAlignment="1" applyProtection="1">
      <alignment/>
      <protection/>
    </xf>
    <xf numFmtId="2" fontId="0" fillId="34" borderId="0" xfId="0" applyNumberFormat="1" applyFont="1" applyFill="1" applyBorder="1" applyAlignment="1" applyProtection="1">
      <alignment/>
      <protection/>
    </xf>
    <xf numFmtId="2" fontId="0" fillId="34" borderId="0" xfId="0" applyNumberFormat="1" applyFill="1" applyBorder="1" applyAlignment="1" applyProtection="1">
      <alignment/>
      <protection/>
    </xf>
    <xf numFmtId="0" fontId="0" fillId="0" borderId="15" xfId="0" applyFont="1" applyBorder="1" applyAlignment="1">
      <alignment horizontal="center"/>
    </xf>
    <xf numFmtId="0" fontId="0" fillId="0" borderId="33" xfId="0" applyFont="1" applyBorder="1" applyAlignment="1">
      <alignment horizontal="center"/>
    </xf>
    <xf numFmtId="44" fontId="0" fillId="0" borderId="0" xfId="0" applyNumberFormat="1" applyBorder="1" applyAlignment="1">
      <alignment/>
    </xf>
    <xf numFmtId="2" fontId="0" fillId="0" borderId="0" xfId="0" applyNumberFormat="1" applyAlignment="1">
      <alignment/>
    </xf>
    <xf numFmtId="0" fontId="0" fillId="7" borderId="15" xfId="0" applyFill="1" applyBorder="1" applyAlignment="1" applyProtection="1">
      <alignment horizontal="center"/>
      <protection locked="0"/>
    </xf>
    <xf numFmtId="0" fontId="0" fillId="0" borderId="0" xfId="0" applyFont="1" applyAlignment="1">
      <alignment/>
    </xf>
    <xf numFmtId="172" fontId="15" fillId="7" borderId="12" xfId="0" applyNumberFormat="1" applyFont="1" applyFill="1" applyBorder="1" applyAlignment="1" applyProtection="1">
      <alignment horizontal="left" vertical="center"/>
      <protection locked="0"/>
    </xf>
    <xf numFmtId="173" fontId="2" fillId="0" borderId="12" xfId="0" applyNumberFormat="1" applyFont="1" applyBorder="1" applyAlignment="1">
      <alignment/>
    </xf>
    <xf numFmtId="172" fontId="15" fillId="0" borderId="30" xfId="0" applyNumberFormat="1" applyFont="1" applyBorder="1" applyAlignment="1">
      <alignment/>
    </xf>
    <xf numFmtId="0" fontId="0" fillId="0" borderId="31" xfId="0" applyBorder="1" applyAlignment="1">
      <alignment/>
    </xf>
    <xf numFmtId="0" fontId="2" fillId="0" borderId="12" xfId="0" applyFont="1" applyBorder="1" applyAlignment="1">
      <alignment horizontal="center"/>
    </xf>
    <xf numFmtId="10" fontId="6" fillId="33" borderId="16" xfId="0" applyNumberFormat="1" applyFont="1" applyFill="1" applyBorder="1" applyAlignment="1" applyProtection="1">
      <alignment horizontal="center" vertical="center"/>
      <protection/>
    </xf>
    <xf numFmtId="0" fontId="3" fillId="33" borderId="48" xfId="0" applyFont="1" applyFill="1" applyBorder="1" applyAlignment="1" applyProtection="1">
      <alignment horizontal="center" wrapText="1"/>
      <protection/>
    </xf>
    <xf numFmtId="10" fontId="6" fillId="33" borderId="47" xfId="0" applyNumberFormat="1" applyFont="1" applyFill="1" applyBorder="1" applyAlignment="1" applyProtection="1">
      <alignment horizontal="center" vertical="center"/>
      <protection/>
    </xf>
    <xf numFmtId="0" fontId="10" fillId="33" borderId="47" xfId="0" applyFont="1" applyFill="1" applyBorder="1" applyAlignment="1" applyProtection="1">
      <alignment horizontal="center"/>
      <protection/>
    </xf>
    <xf numFmtId="0" fontId="6" fillId="33" borderId="16" xfId="0" applyFont="1" applyFill="1" applyBorder="1" applyAlignment="1" applyProtection="1">
      <alignment/>
      <protection/>
    </xf>
    <xf numFmtId="0" fontId="6" fillId="33" borderId="24" xfId="0" applyFont="1" applyFill="1" applyBorder="1" applyAlignment="1" applyProtection="1">
      <alignment/>
      <protection/>
    </xf>
    <xf numFmtId="0" fontId="6" fillId="33" borderId="16" xfId="0" applyFont="1" applyFill="1" applyBorder="1" applyAlignment="1" applyProtection="1">
      <alignment horizontal="center"/>
      <protection/>
    </xf>
    <xf numFmtId="0" fontId="6" fillId="33" borderId="24" xfId="0" applyFont="1" applyFill="1" applyBorder="1" applyAlignment="1" applyProtection="1">
      <alignment horizontal="center"/>
      <protection/>
    </xf>
    <xf numFmtId="0" fontId="3" fillId="34" borderId="26" xfId="0" applyFont="1" applyFill="1" applyBorder="1" applyAlignment="1" applyProtection="1">
      <alignment horizontal="center"/>
      <protection/>
    </xf>
    <xf numFmtId="0" fontId="3" fillId="34" borderId="20" xfId="0" applyFont="1" applyFill="1" applyBorder="1" applyAlignment="1" applyProtection="1">
      <alignment horizontal="center"/>
      <protection/>
    </xf>
    <xf numFmtId="10" fontId="10" fillId="33" borderId="16" xfId="0" applyNumberFormat="1" applyFont="1" applyFill="1" applyBorder="1" applyAlignment="1" applyProtection="1">
      <alignment horizontal="center" vertical="center"/>
      <protection/>
    </xf>
    <xf numFmtId="10" fontId="10" fillId="33" borderId="24" xfId="0" applyNumberFormat="1" applyFont="1" applyFill="1" applyBorder="1" applyAlignment="1" applyProtection="1">
      <alignment horizontal="center" vertical="center"/>
      <protection/>
    </xf>
    <xf numFmtId="0" fontId="2" fillId="33" borderId="29" xfId="0" applyFont="1" applyFill="1" applyBorder="1" applyAlignment="1" applyProtection="1">
      <alignment vertical="center"/>
      <protection/>
    </xf>
    <xf numFmtId="0" fontId="3" fillId="33" borderId="18" xfId="0" applyFont="1" applyFill="1" applyBorder="1" applyAlignment="1" applyProtection="1">
      <alignment horizontal="center" vertical="center" wrapText="1" shrinkToFit="1"/>
      <protection/>
    </xf>
    <xf numFmtId="0" fontId="2" fillId="34" borderId="47" xfId="0" applyFont="1" applyFill="1" applyBorder="1" applyAlignment="1" applyProtection="1">
      <alignment horizontal="center" vertical="center" wrapText="1"/>
      <protection/>
    </xf>
    <xf numFmtId="172" fontId="2" fillId="34" borderId="24" xfId="0" applyNumberFormat="1" applyFont="1" applyFill="1" applyBorder="1" applyAlignment="1" applyProtection="1">
      <alignment horizontal="center" vertical="center" wrapText="1"/>
      <protection/>
    </xf>
    <xf numFmtId="176" fontId="2" fillId="34" borderId="12" xfId="0" applyNumberFormat="1" applyFont="1" applyFill="1" applyBorder="1" applyAlignment="1" applyProtection="1">
      <alignment horizontal="right"/>
      <protection/>
    </xf>
    <xf numFmtId="176" fontId="2" fillId="34" borderId="31" xfId="0" applyNumberFormat="1" applyFont="1" applyFill="1" applyBorder="1" applyAlignment="1" applyProtection="1">
      <alignment horizontal="right"/>
      <protection/>
    </xf>
    <xf numFmtId="8" fontId="0" fillId="0" borderId="0" xfId="0" applyNumberFormat="1" applyFont="1" applyBorder="1" applyAlignment="1">
      <alignment/>
    </xf>
    <xf numFmtId="8" fontId="0" fillId="0" borderId="59" xfId="0" applyNumberFormat="1" applyBorder="1" applyAlignment="1">
      <alignment/>
    </xf>
    <xf numFmtId="175" fontId="0" fillId="7" borderId="12" xfId="0" applyNumberFormat="1" applyFill="1" applyBorder="1" applyAlignment="1" applyProtection="1">
      <alignment horizontal="center"/>
      <protection locked="0"/>
    </xf>
    <xf numFmtId="0" fontId="0" fillId="38" borderId="26" xfId="0" applyFont="1" applyFill="1" applyBorder="1" applyAlignment="1">
      <alignment horizontal="center"/>
    </xf>
    <xf numFmtId="0" fontId="74" fillId="0" borderId="0" xfId="0" applyFont="1" applyAlignment="1">
      <alignment/>
    </xf>
    <xf numFmtId="2" fontId="0" fillId="7" borderId="47" xfId="0" applyNumberFormat="1" applyFill="1" applyBorder="1" applyAlignment="1" applyProtection="1">
      <alignment horizontal="center"/>
      <protection locked="0"/>
    </xf>
    <xf numFmtId="2" fontId="0" fillId="7" borderId="47" xfId="0" applyNumberFormat="1" applyFill="1" applyBorder="1" applyAlignment="1" applyProtection="1">
      <alignment/>
      <protection locked="0"/>
    </xf>
    <xf numFmtId="0" fontId="0" fillId="0" borderId="19" xfId="0" applyFont="1" applyFill="1" applyBorder="1" applyAlignment="1">
      <alignment/>
    </xf>
    <xf numFmtId="0" fontId="2" fillId="34" borderId="49" xfId="0" applyFont="1" applyFill="1" applyBorder="1" applyAlignment="1" applyProtection="1">
      <alignment/>
      <protection/>
    </xf>
    <xf numFmtId="0" fontId="0" fillId="34" borderId="47" xfId="0" applyFont="1" applyFill="1" applyBorder="1" applyAlignment="1" applyProtection="1">
      <alignment/>
      <protection/>
    </xf>
    <xf numFmtId="0" fontId="0" fillId="34" borderId="24" xfId="0" applyFont="1" applyFill="1" applyBorder="1" applyAlignment="1" applyProtection="1">
      <alignment/>
      <protection/>
    </xf>
    <xf numFmtId="0" fontId="2" fillId="34" borderId="48" xfId="0" applyFont="1" applyFill="1" applyBorder="1" applyAlignment="1" applyProtection="1">
      <alignment horizontal="center" wrapText="1"/>
      <protection/>
    </xf>
    <xf numFmtId="0" fontId="2" fillId="34" borderId="18" xfId="0" applyFont="1" applyFill="1" applyBorder="1" applyAlignment="1" applyProtection="1">
      <alignment horizontal="center" wrapText="1"/>
      <protection/>
    </xf>
    <xf numFmtId="0" fontId="2" fillId="34" borderId="29" xfId="0" applyFont="1" applyFill="1" applyBorder="1" applyAlignment="1" applyProtection="1">
      <alignment/>
      <protection/>
    </xf>
    <xf numFmtId="0" fontId="0" fillId="0" borderId="44" xfId="0" applyBorder="1" applyAlignment="1" applyProtection="1">
      <alignment/>
      <protection/>
    </xf>
    <xf numFmtId="0" fontId="0" fillId="0" borderId="19" xfId="0" applyFont="1" applyBorder="1" applyAlignment="1" applyProtection="1">
      <alignment horizontal="center"/>
      <protection/>
    </xf>
    <xf numFmtId="7" fontId="0" fillId="0" borderId="0" xfId="0" applyNumberFormat="1" applyAlignment="1">
      <alignment/>
    </xf>
    <xf numFmtId="180" fontId="3" fillId="33" borderId="19" xfId="0" applyNumberFormat="1" applyFont="1" applyFill="1" applyBorder="1" applyAlignment="1" applyProtection="1">
      <alignment horizontal="center" vertical="center" wrapText="1" shrinkToFit="1"/>
      <protection/>
    </xf>
    <xf numFmtId="180" fontId="3" fillId="33" borderId="24" xfId="0" applyNumberFormat="1" applyFont="1" applyFill="1" applyBorder="1" applyAlignment="1" applyProtection="1">
      <alignment horizontal="center" vertical="center" wrapText="1" shrinkToFit="1"/>
      <protection/>
    </xf>
    <xf numFmtId="1" fontId="2" fillId="19" borderId="21" xfId="0" applyNumberFormat="1" applyFont="1" applyFill="1" applyBorder="1" applyAlignment="1" applyProtection="1">
      <alignment horizontal="center"/>
      <protection locked="0"/>
    </xf>
    <xf numFmtId="1" fontId="0" fillId="0" borderId="0" xfId="0" applyNumberFormat="1" applyAlignment="1">
      <alignment/>
    </xf>
    <xf numFmtId="0" fontId="6" fillId="33" borderId="30"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0" fillId="34" borderId="0" xfId="0" applyFont="1" applyFill="1" applyAlignment="1">
      <alignment vertical="top" wrapText="1"/>
    </xf>
    <xf numFmtId="0" fontId="0" fillId="34" borderId="0" xfId="0" applyFill="1" applyAlignment="1">
      <alignment vertical="top" wrapText="1"/>
    </xf>
    <xf numFmtId="180" fontId="2" fillId="34" borderId="19" xfId="0" applyNumberFormat="1" applyFont="1" applyFill="1" applyBorder="1" applyAlignment="1" applyProtection="1">
      <alignment horizontal="center" wrapText="1"/>
      <protection/>
    </xf>
    <xf numFmtId="180" fontId="2" fillId="34" borderId="44" xfId="0" applyNumberFormat="1" applyFont="1" applyFill="1" applyBorder="1" applyAlignment="1" applyProtection="1">
      <alignment horizontal="center" wrapText="1"/>
      <protection/>
    </xf>
    <xf numFmtId="164" fontId="30" fillId="34" borderId="48" xfId="0" applyNumberFormat="1" applyFont="1" applyFill="1" applyBorder="1" applyAlignment="1" applyProtection="1">
      <alignment horizontal="center" vertical="center"/>
      <protection/>
    </xf>
    <xf numFmtId="164" fontId="30" fillId="34" borderId="26" xfId="0" applyNumberFormat="1" applyFont="1" applyFill="1" applyBorder="1" applyAlignment="1" applyProtection="1">
      <alignment horizontal="center" vertical="center"/>
      <protection/>
    </xf>
    <xf numFmtId="164" fontId="30" fillId="34" borderId="49" xfId="0" applyNumberFormat="1" applyFont="1" applyFill="1" applyBorder="1" applyAlignment="1" applyProtection="1">
      <alignment horizontal="center" vertical="center"/>
      <protection/>
    </xf>
    <xf numFmtId="164" fontId="30" fillId="34" borderId="19" xfId="0" applyNumberFormat="1" applyFont="1" applyFill="1" applyBorder="1" applyAlignment="1" applyProtection="1">
      <alignment horizontal="center" vertical="center"/>
      <protection/>
    </xf>
    <xf numFmtId="164" fontId="30" fillId="34" borderId="20" xfId="0" applyNumberFormat="1" applyFont="1" applyFill="1" applyBorder="1" applyAlignment="1" applyProtection="1">
      <alignment horizontal="center" vertical="center"/>
      <protection/>
    </xf>
    <xf numFmtId="164" fontId="30" fillId="34" borderId="44" xfId="0" applyNumberFormat="1" applyFont="1" applyFill="1" applyBorder="1" applyAlignment="1" applyProtection="1">
      <alignment horizontal="center" vertical="center"/>
      <protection/>
    </xf>
    <xf numFmtId="164" fontId="2" fillId="0" borderId="48" xfId="0" applyNumberFormat="1" applyFont="1" applyFill="1" applyBorder="1" applyAlignment="1" applyProtection="1">
      <alignment horizontal="center" vertical="center"/>
      <protection/>
    </xf>
    <xf numFmtId="164" fontId="2" fillId="0" borderId="26" xfId="0" applyNumberFormat="1" applyFont="1" applyFill="1" applyBorder="1" applyAlignment="1" applyProtection="1">
      <alignment horizontal="center" vertical="center"/>
      <protection/>
    </xf>
    <xf numFmtId="164" fontId="2" fillId="0" borderId="49" xfId="0" applyNumberFormat="1" applyFont="1" applyFill="1" applyBorder="1" applyAlignment="1" applyProtection="1">
      <alignment horizontal="center" vertical="center"/>
      <protection/>
    </xf>
    <xf numFmtId="164" fontId="2" fillId="0" borderId="19" xfId="0" applyNumberFormat="1" applyFont="1" applyFill="1" applyBorder="1" applyAlignment="1" applyProtection="1">
      <alignment horizontal="center" vertical="center"/>
      <protection/>
    </xf>
    <xf numFmtId="164" fontId="2" fillId="0" borderId="20" xfId="0" applyNumberFormat="1" applyFont="1" applyFill="1" applyBorder="1" applyAlignment="1" applyProtection="1">
      <alignment horizontal="center" vertical="center"/>
      <protection/>
    </xf>
    <xf numFmtId="164" fontId="2" fillId="0" borderId="44" xfId="0" applyNumberFormat="1" applyFont="1" applyFill="1" applyBorder="1" applyAlignment="1" applyProtection="1">
      <alignment horizontal="center" vertical="center"/>
      <protection/>
    </xf>
    <xf numFmtId="10" fontId="2" fillId="0" borderId="47" xfId="0" applyNumberFormat="1" applyFont="1" applyFill="1" applyBorder="1" applyAlignment="1" applyProtection="1">
      <alignment horizontal="center" vertical="center"/>
      <protection/>
    </xf>
    <xf numFmtId="10" fontId="2" fillId="0" borderId="24" xfId="0" applyNumberFormat="1" applyFont="1" applyFill="1" applyBorder="1" applyAlignment="1" applyProtection="1">
      <alignment horizontal="center" vertical="center"/>
      <protection/>
    </xf>
    <xf numFmtId="0" fontId="2" fillId="0" borderId="48" xfId="0" applyFont="1" applyFill="1" applyBorder="1" applyAlignment="1" applyProtection="1">
      <alignment horizontal="center" vertical="center" wrapText="1" shrinkToFit="1"/>
      <protection/>
    </xf>
    <xf numFmtId="0" fontId="2" fillId="0" borderId="49" xfId="0" applyFont="1" applyFill="1" applyBorder="1" applyAlignment="1" applyProtection="1">
      <alignment horizontal="center" vertical="center" wrapText="1" shrinkToFit="1"/>
      <protection/>
    </xf>
    <xf numFmtId="0" fontId="2" fillId="0" borderId="1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wrapText="1"/>
      <protection/>
    </xf>
    <xf numFmtId="0" fontId="2" fillId="0" borderId="48" xfId="0" applyFont="1" applyFill="1" applyBorder="1" applyAlignment="1" applyProtection="1">
      <alignment horizontal="center" wrapText="1"/>
      <protection/>
    </xf>
    <xf numFmtId="0" fontId="2" fillId="0" borderId="49" xfId="0" applyFont="1" applyFill="1" applyBorder="1" applyAlignment="1" applyProtection="1">
      <alignment horizontal="center" wrapText="1"/>
      <protection/>
    </xf>
    <xf numFmtId="0" fontId="6" fillId="33" borderId="30" xfId="0" applyFont="1" applyFill="1" applyBorder="1" applyAlignment="1" applyProtection="1">
      <alignment horizontal="center"/>
      <protection/>
    </xf>
    <xf numFmtId="0" fontId="6" fillId="33" borderId="15" xfId="0" applyFont="1" applyFill="1" applyBorder="1" applyAlignment="1" applyProtection="1">
      <alignment horizontal="center"/>
      <protection/>
    </xf>
    <xf numFmtId="0" fontId="0" fillId="33" borderId="15" xfId="0" applyFont="1" applyFill="1" applyBorder="1" applyAlignment="1" applyProtection="1">
      <alignment/>
      <protection/>
    </xf>
    <xf numFmtId="0" fontId="0" fillId="33" borderId="31" xfId="0" applyFont="1" applyFill="1" applyBorder="1" applyAlignment="1" applyProtection="1">
      <alignment/>
      <protection/>
    </xf>
    <xf numFmtId="0" fontId="0" fillId="34" borderId="18" xfId="0" applyFont="1" applyFill="1" applyBorder="1" applyAlignment="1" applyProtection="1">
      <alignment horizontal="center"/>
      <protection/>
    </xf>
    <xf numFmtId="0" fontId="0" fillId="34" borderId="0" xfId="0" applyFont="1" applyFill="1" applyBorder="1" applyAlignment="1" applyProtection="1">
      <alignment horizontal="center"/>
      <protection/>
    </xf>
    <xf numFmtId="0" fontId="0" fillId="34" borderId="29" xfId="0" applyFont="1" applyFill="1" applyBorder="1" applyAlignment="1" applyProtection="1">
      <alignment horizontal="center"/>
      <protection/>
    </xf>
    <xf numFmtId="14" fontId="2" fillId="37" borderId="32" xfId="0" applyNumberFormat="1" applyFont="1" applyFill="1" applyBorder="1" applyAlignment="1" applyProtection="1">
      <alignment horizontal="center"/>
      <protection locked="0"/>
    </xf>
    <xf numFmtId="0" fontId="0" fillId="37" borderId="11" xfId="0" applyFill="1" applyBorder="1" applyAlignment="1" applyProtection="1">
      <alignment horizontal="center"/>
      <protection locked="0"/>
    </xf>
    <xf numFmtId="0" fontId="2" fillId="34" borderId="0" xfId="0" applyFont="1" applyFill="1" applyBorder="1" applyAlignment="1" applyProtection="1">
      <alignment horizontal="right"/>
      <protection/>
    </xf>
    <xf numFmtId="0" fontId="0" fillId="34" borderId="23" xfId="0" applyFill="1" applyBorder="1" applyAlignment="1" applyProtection="1">
      <alignment horizontal="right"/>
      <protection/>
    </xf>
    <xf numFmtId="0" fontId="2" fillId="37" borderId="27" xfId="0" applyFont="1" applyFill="1" applyBorder="1" applyAlignment="1" applyProtection="1">
      <alignment horizontal="center"/>
      <protection locked="0"/>
    </xf>
    <xf numFmtId="0" fontId="0" fillId="37" borderId="13" xfId="0" applyFill="1" applyBorder="1" applyAlignment="1" applyProtection="1">
      <alignment horizontal="center"/>
      <protection locked="0"/>
    </xf>
    <xf numFmtId="0" fontId="15" fillId="33" borderId="48" xfId="0" applyFont="1" applyFill="1" applyBorder="1" applyAlignment="1" applyProtection="1">
      <alignment horizontal="left" vertical="top" wrapText="1"/>
      <protection/>
    </xf>
    <xf numFmtId="0" fontId="14" fillId="33" borderId="26" xfId="0" applyFont="1" applyFill="1" applyBorder="1" applyAlignment="1" applyProtection="1">
      <alignment horizontal="left" vertical="top" wrapText="1"/>
      <protection/>
    </xf>
    <xf numFmtId="0" fontId="14" fillId="33" borderId="49" xfId="0" applyFont="1" applyFill="1" applyBorder="1" applyAlignment="1" applyProtection="1">
      <alignment horizontal="left" vertical="top" wrapText="1"/>
      <protection/>
    </xf>
    <xf numFmtId="0" fontId="14" fillId="33" borderId="18" xfId="0" applyFont="1" applyFill="1" applyBorder="1" applyAlignment="1" applyProtection="1">
      <alignment horizontal="left" vertical="top" wrapText="1"/>
      <protection/>
    </xf>
    <xf numFmtId="0" fontId="14" fillId="33" borderId="0" xfId="0" applyFont="1" applyFill="1" applyBorder="1" applyAlignment="1" applyProtection="1">
      <alignment horizontal="left" vertical="top" wrapText="1"/>
      <protection/>
    </xf>
    <xf numFmtId="0" fontId="14" fillId="33" borderId="29" xfId="0" applyFont="1" applyFill="1" applyBorder="1" applyAlignment="1" applyProtection="1">
      <alignment horizontal="left" vertical="top" wrapText="1"/>
      <protection/>
    </xf>
    <xf numFmtId="0" fontId="14" fillId="33" borderId="19" xfId="0" applyFont="1" applyFill="1" applyBorder="1" applyAlignment="1" applyProtection="1">
      <alignment horizontal="left" vertical="top" wrapText="1"/>
      <protection/>
    </xf>
    <xf numFmtId="0" fontId="14" fillId="33" borderId="20" xfId="0" applyFont="1" applyFill="1" applyBorder="1" applyAlignment="1" applyProtection="1">
      <alignment horizontal="left" vertical="top" wrapText="1"/>
      <protection/>
    </xf>
    <xf numFmtId="0" fontId="14" fillId="33" borderId="44" xfId="0" applyFont="1" applyFill="1" applyBorder="1" applyAlignment="1" applyProtection="1">
      <alignment horizontal="left" vertical="top" wrapText="1"/>
      <protection/>
    </xf>
    <xf numFmtId="0" fontId="2" fillId="34" borderId="18" xfId="0" applyFont="1" applyFill="1" applyBorder="1" applyAlignment="1" applyProtection="1">
      <alignment horizontal="right" vertical="top" wrapText="1"/>
      <protection/>
    </xf>
    <xf numFmtId="0" fontId="0" fillId="0" borderId="0" xfId="0" applyBorder="1" applyAlignment="1" applyProtection="1">
      <alignment horizontal="right"/>
      <protection/>
    </xf>
    <xf numFmtId="10" fontId="2" fillId="0" borderId="16"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horizontal="center" vertical="center"/>
      <protection/>
    </xf>
    <xf numFmtId="164" fontId="2" fillId="0" borderId="29" xfId="0" applyNumberFormat="1" applyFont="1" applyFill="1" applyBorder="1" applyAlignment="1" applyProtection="1">
      <alignment horizontal="center" vertical="center"/>
      <protection/>
    </xf>
    <xf numFmtId="10" fontId="2" fillId="34" borderId="16" xfId="0" applyNumberFormat="1" applyFont="1" applyFill="1" applyBorder="1" applyAlignment="1" applyProtection="1">
      <alignment horizontal="center" vertical="center"/>
      <protection/>
    </xf>
    <xf numFmtId="10" fontId="2" fillId="34" borderId="24" xfId="0" applyNumberFormat="1" applyFont="1" applyFill="1" applyBorder="1" applyAlignment="1" applyProtection="1">
      <alignment horizontal="center" vertical="center"/>
      <protection/>
    </xf>
    <xf numFmtId="164" fontId="3" fillId="34" borderId="0" xfId="0" applyNumberFormat="1" applyFont="1" applyFill="1" applyBorder="1" applyAlignment="1" applyProtection="1">
      <alignment horizontal="center" vertical="center"/>
      <protection/>
    </xf>
    <xf numFmtId="164" fontId="3" fillId="34" borderId="29" xfId="0" applyNumberFormat="1" applyFont="1" applyFill="1" applyBorder="1" applyAlignment="1" applyProtection="1">
      <alignment horizontal="center" vertical="center"/>
      <protection/>
    </xf>
    <xf numFmtId="164" fontId="3" fillId="34" borderId="20" xfId="0" applyNumberFormat="1" applyFont="1" applyFill="1" applyBorder="1" applyAlignment="1" applyProtection="1">
      <alignment horizontal="center" vertical="center"/>
      <protection/>
    </xf>
    <xf numFmtId="164" fontId="3" fillId="34" borderId="44" xfId="0" applyNumberFormat="1" applyFont="1" applyFill="1" applyBorder="1" applyAlignment="1" applyProtection="1">
      <alignment horizontal="center" vertical="center"/>
      <protection/>
    </xf>
    <xf numFmtId="0" fontId="17" fillId="34" borderId="0" xfId="47" applyFont="1" applyFill="1" applyAlignment="1" applyProtection="1">
      <alignment horizontal="center"/>
      <protection/>
    </xf>
    <xf numFmtId="0" fontId="17" fillId="34" borderId="0" xfId="47" applyFill="1" applyAlignment="1" applyProtection="1">
      <alignment horizontal="center"/>
      <protection/>
    </xf>
    <xf numFmtId="164" fontId="29" fillId="34" borderId="26" xfId="0" applyNumberFormat="1" applyFont="1" applyFill="1" applyBorder="1" applyAlignment="1" applyProtection="1">
      <alignment horizontal="center" vertical="center"/>
      <protection/>
    </xf>
    <xf numFmtId="164" fontId="29" fillId="34" borderId="49" xfId="0" applyNumberFormat="1" applyFont="1" applyFill="1" applyBorder="1" applyAlignment="1" applyProtection="1">
      <alignment horizontal="center" vertical="center"/>
      <protection/>
    </xf>
    <xf numFmtId="164" fontId="29" fillId="34" borderId="20" xfId="0" applyNumberFormat="1" applyFont="1" applyFill="1" applyBorder="1" applyAlignment="1" applyProtection="1">
      <alignment horizontal="center" vertical="center"/>
      <protection/>
    </xf>
    <xf numFmtId="164" fontId="29" fillId="34" borderId="44" xfId="0" applyNumberFormat="1" applyFont="1" applyFill="1" applyBorder="1" applyAlignment="1" applyProtection="1">
      <alignment horizontal="center" vertical="center"/>
      <protection/>
    </xf>
    <xf numFmtId="180" fontId="2" fillId="34" borderId="18" xfId="0" applyNumberFormat="1" applyFont="1" applyFill="1" applyBorder="1" applyAlignment="1" applyProtection="1">
      <alignment horizontal="center" wrapText="1"/>
      <protection/>
    </xf>
    <xf numFmtId="180" fontId="2" fillId="34" borderId="29" xfId="0" applyNumberFormat="1" applyFont="1" applyFill="1" applyBorder="1" applyAlignment="1" applyProtection="1">
      <alignment horizontal="center" wrapText="1"/>
      <protection/>
    </xf>
    <xf numFmtId="166" fontId="2" fillId="34" borderId="30" xfId="0" applyNumberFormat="1" applyFont="1" applyFill="1" applyBorder="1" applyAlignment="1" applyProtection="1">
      <alignment horizontal="center"/>
      <protection/>
    </xf>
    <xf numFmtId="166" fontId="2" fillId="34" borderId="31" xfId="0" applyNumberFormat="1" applyFont="1" applyFill="1" applyBorder="1" applyAlignment="1" applyProtection="1">
      <alignment horizontal="center"/>
      <protection/>
    </xf>
    <xf numFmtId="0" fontId="4" fillId="34" borderId="0" xfId="0" applyFont="1" applyFill="1" applyBorder="1" applyAlignment="1" applyProtection="1">
      <alignment horizontal="right"/>
      <protection/>
    </xf>
    <xf numFmtId="0" fontId="0" fillId="0" borderId="23" xfId="0" applyBorder="1" applyAlignment="1" applyProtection="1">
      <alignment horizontal="right"/>
      <protection/>
    </xf>
    <xf numFmtId="0" fontId="10" fillId="33" borderId="30" xfId="0" applyFont="1" applyFill="1" applyBorder="1" applyAlignment="1" applyProtection="1">
      <alignment horizontal="center"/>
      <protection/>
    </xf>
    <xf numFmtId="0" fontId="10" fillId="33" borderId="31" xfId="0" applyFont="1" applyFill="1" applyBorder="1" applyAlignment="1" applyProtection="1">
      <alignment horizontal="center"/>
      <protection/>
    </xf>
    <xf numFmtId="0" fontId="10" fillId="33" borderId="15" xfId="0" applyFont="1" applyFill="1" applyBorder="1" applyAlignment="1" applyProtection="1">
      <alignment horizontal="center"/>
      <protection/>
    </xf>
    <xf numFmtId="0" fontId="4" fillId="34" borderId="0" xfId="0" applyFont="1" applyFill="1" applyBorder="1" applyAlignment="1" applyProtection="1">
      <alignment horizontal="right" vertical="top" wrapText="1"/>
      <protection/>
    </xf>
    <xf numFmtId="0" fontId="2" fillId="34" borderId="18" xfId="0" applyFont="1" applyFill="1" applyBorder="1" applyAlignment="1" applyProtection="1">
      <alignment horizontal="center"/>
      <protection/>
    </xf>
    <xf numFmtId="0" fontId="2" fillId="34" borderId="0" xfId="0" applyFont="1" applyFill="1" applyBorder="1" applyAlignment="1" applyProtection="1">
      <alignment horizontal="center"/>
      <protection/>
    </xf>
    <xf numFmtId="0" fontId="2" fillId="34" borderId="29" xfId="0" applyFont="1" applyFill="1" applyBorder="1" applyAlignment="1" applyProtection="1">
      <alignment horizontal="center"/>
      <protection/>
    </xf>
    <xf numFmtId="164" fontId="10" fillId="33" borderId="26" xfId="0" applyNumberFormat="1" applyFont="1" applyFill="1" applyBorder="1" applyAlignment="1" applyProtection="1">
      <alignment horizontal="center" vertical="center"/>
      <protection/>
    </xf>
    <xf numFmtId="164" fontId="10" fillId="33" borderId="20" xfId="0" applyNumberFormat="1" applyFont="1" applyFill="1" applyBorder="1" applyAlignment="1" applyProtection="1">
      <alignment horizontal="center" vertical="center"/>
      <protection/>
    </xf>
    <xf numFmtId="10" fontId="3" fillId="33" borderId="26" xfId="0" applyNumberFormat="1" applyFont="1" applyFill="1" applyBorder="1" applyAlignment="1" applyProtection="1">
      <alignment horizontal="center" vertical="center"/>
      <protection/>
    </xf>
    <xf numFmtId="10" fontId="3" fillId="33" borderId="20" xfId="0" applyNumberFormat="1" applyFont="1" applyFill="1" applyBorder="1" applyAlignment="1" applyProtection="1">
      <alignment horizontal="center" vertical="center"/>
      <protection/>
    </xf>
    <xf numFmtId="164" fontId="10" fillId="33" borderId="49" xfId="0" applyNumberFormat="1" applyFont="1" applyFill="1" applyBorder="1" applyAlignment="1" applyProtection="1">
      <alignment horizontal="center" vertical="center"/>
      <protection/>
    </xf>
    <xf numFmtId="164" fontId="10" fillId="33" borderId="44" xfId="0" applyNumberFormat="1" applyFont="1" applyFill="1" applyBorder="1" applyAlignment="1" applyProtection="1">
      <alignment horizontal="center" vertical="center"/>
      <protection/>
    </xf>
    <xf numFmtId="164" fontId="10" fillId="34" borderId="48" xfId="0" applyNumberFormat="1" applyFont="1" applyFill="1" applyBorder="1" applyAlignment="1" applyProtection="1">
      <alignment horizontal="center" vertical="center"/>
      <protection/>
    </xf>
    <xf numFmtId="164" fontId="10" fillId="34" borderId="49" xfId="0" applyNumberFormat="1" applyFont="1" applyFill="1" applyBorder="1" applyAlignment="1" applyProtection="1">
      <alignment horizontal="center" vertical="center"/>
      <protection/>
    </xf>
    <xf numFmtId="164" fontId="10" fillId="34" borderId="19" xfId="0" applyNumberFormat="1" applyFont="1" applyFill="1" applyBorder="1" applyAlignment="1" applyProtection="1">
      <alignment horizontal="center" vertical="center"/>
      <protection/>
    </xf>
    <xf numFmtId="164" fontId="10" fillId="34" borderId="44" xfId="0" applyNumberFormat="1" applyFont="1" applyFill="1" applyBorder="1" applyAlignment="1" applyProtection="1">
      <alignment horizontal="center" vertical="center"/>
      <protection/>
    </xf>
    <xf numFmtId="10" fontId="3" fillId="0" borderId="47" xfId="0" applyNumberFormat="1" applyFont="1" applyFill="1" applyBorder="1" applyAlignment="1" applyProtection="1">
      <alignment horizontal="center" vertical="center"/>
      <protection/>
    </xf>
    <xf numFmtId="10" fontId="3" fillId="0" borderId="24" xfId="0" applyNumberFormat="1" applyFont="1" applyFill="1" applyBorder="1" applyAlignment="1" applyProtection="1">
      <alignment horizontal="center" vertical="center"/>
      <protection/>
    </xf>
    <xf numFmtId="0" fontId="17" fillId="34" borderId="0" xfId="47" applyFont="1" applyFill="1" applyBorder="1" applyAlignment="1" applyProtection="1">
      <alignment horizontal="center"/>
      <protection/>
    </xf>
    <xf numFmtId="0" fontId="17" fillId="34" borderId="29" xfId="47" applyFill="1" applyBorder="1" applyAlignment="1" applyProtection="1">
      <alignment horizontal="center"/>
      <protection/>
    </xf>
    <xf numFmtId="164" fontId="10" fillId="34" borderId="15" xfId="0" applyNumberFormat="1" applyFont="1" applyFill="1" applyBorder="1" applyAlignment="1" applyProtection="1">
      <alignment horizontal="center" vertical="center"/>
      <protection/>
    </xf>
    <xf numFmtId="164" fontId="10" fillId="34" borderId="31" xfId="0" applyNumberFormat="1" applyFont="1" applyFill="1" applyBorder="1" applyAlignment="1" applyProtection="1">
      <alignment horizontal="center" vertical="center"/>
      <protection/>
    </xf>
    <xf numFmtId="0" fontId="10" fillId="33" borderId="15" xfId="0" applyFont="1" applyFill="1" applyBorder="1" applyAlignment="1" applyProtection="1">
      <alignment horizontal="center"/>
      <protection/>
    </xf>
    <xf numFmtId="0" fontId="0" fillId="33" borderId="15" xfId="0" applyFont="1" applyFill="1" applyBorder="1" applyAlignment="1" applyProtection="1">
      <alignment horizontal="center"/>
      <protection/>
    </xf>
    <xf numFmtId="7" fontId="9" fillId="34" borderId="27" xfId="45" applyNumberFormat="1" applyFont="1" applyFill="1" applyBorder="1" applyAlignment="1" applyProtection="1">
      <alignment/>
      <protection/>
    </xf>
    <xf numFmtId="7" fontId="9" fillId="34" borderId="46" xfId="45" applyNumberFormat="1" applyFont="1" applyFill="1" applyBorder="1" applyAlignment="1" applyProtection="1">
      <alignment/>
      <protection/>
    </xf>
    <xf numFmtId="44" fontId="9" fillId="34" borderId="27" xfId="45" applyFont="1" applyFill="1" applyBorder="1" applyAlignment="1" applyProtection="1">
      <alignment/>
      <protection/>
    </xf>
    <xf numFmtId="44" fontId="9" fillId="34" borderId="46" xfId="45" applyFont="1" applyFill="1" applyBorder="1" applyAlignment="1" applyProtection="1">
      <alignment/>
      <protection/>
    </xf>
    <xf numFmtId="164" fontId="10" fillId="34" borderId="26" xfId="0" applyNumberFormat="1" applyFont="1" applyFill="1" applyBorder="1" applyAlignment="1" applyProtection="1">
      <alignment horizontal="center" vertical="center"/>
      <protection/>
    </xf>
    <xf numFmtId="164" fontId="10" fillId="34" borderId="20" xfId="0" applyNumberFormat="1" applyFont="1" applyFill="1" applyBorder="1" applyAlignment="1" applyProtection="1">
      <alignment horizontal="center" vertical="center"/>
      <protection/>
    </xf>
    <xf numFmtId="0" fontId="14" fillId="33" borderId="48" xfId="0" applyFont="1" applyFill="1" applyBorder="1" applyAlignment="1" applyProtection="1">
      <alignment horizontal="left" vertical="top" wrapText="1"/>
      <protection/>
    </xf>
    <xf numFmtId="164" fontId="10" fillId="34" borderId="15" xfId="0" applyNumberFormat="1" applyFont="1" applyFill="1" applyBorder="1" applyAlignment="1" applyProtection="1">
      <alignment horizontal="center" vertical="center"/>
      <protection/>
    </xf>
    <xf numFmtId="173" fontId="10" fillId="34" borderId="15" xfId="0" applyNumberFormat="1" applyFont="1" applyFill="1" applyBorder="1" applyAlignment="1" applyProtection="1">
      <alignment horizontal="center" vertical="center"/>
      <protection/>
    </xf>
    <xf numFmtId="173" fontId="10" fillId="34" borderId="31" xfId="0" applyNumberFormat="1" applyFont="1" applyFill="1" applyBorder="1" applyAlignment="1" applyProtection="1">
      <alignment horizontal="center" vertical="center"/>
      <protection/>
    </xf>
    <xf numFmtId="44" fontId="9" fillId="34" borderId="27" xfId="45" applyFont="1" applyFill="1" applyBorder="1" applyAlignment="1" applyProtection="1">
      <alignment shrinkToFit="1"/>
      <protection/>
    </xf>
    <xf numFmtId="44" fontId="9" fillId="34" borderId="28" xfId="45" applyFont="1" applyFill="1" applyBorder="1" applyAlignment="1" applyProtection="1">
      <alignment shrinkToFit="1"/>
      <protection/>
    </xf>
    <xf numFmtId="7" fontId="9" fillId="34" borderId="27" xfId="45" applyNumberFormat="1" applyFont="1" applyFill="1" applyBorder="1" applyAlignment="1" applyProtection="1">
      <alignment shrinkToFit="1"/>
      <protection/>
    </xf>
    <xf numFmtId="7" fontId="9" fillId="34" borderId="28" xfId="45" applyNumberFormat="1" applyFont="1" applyFill="1" applyBorder="1" applyAlignment="1" applyProtection="1">
      <alignment shrinkToFit="1"/>
      <protection/>
    </xf>
    <xf numFmtId="0" fontId="2" fillId="34" borderId="48" xfId="0" applyFont="1" applyFill="1" applyBorder="1" applyAlignment="1" applyProtection="1">
      <alignment vertical="center" wrapText="1"/>
      <protection/>
    </xf>
    <xf numFmtId="0" fontId="2" fillId="34" borderId="19" xfId="0" applyFont="1" applyFill="1" applyBorder="1" applyAlignment="1" applyProtection="1">
      <alignment vertical="center" wrapText="1"/>
      <protection/>
    </xf>
    <xf numFmtId="7" fontId="10" fillId="34" borderId="26" xfId="45" applyNumberFormat="1" applyFont="1" applyFill="1" applyBorder="1" applyAlignment="1" applyProtection="1">
      <alignment horizontal="center" vertical="center"/>
      <protection/>
    </xf>
    <xf numFmtId="7" fontId="10" fillId="34" borderId="20" xfId="45" applyNumberFormat="1" applyFont="1" applyFill="1" applyBorder="1" applyAlignment="1" applyProtection="1">
      <alignment horizontal="center" vertical="center"/>
      <protection/>
    </xf>
    <xf numFmtId="44" fontId="9" fillId="34" borderId="32" xfId="45" applyFont="1" applyFill="1" applyBorder="1" applyAlignment="1" applyProtection="1">
      <alignment/>
      <protection/>
    </xf>
    <xf numFmtId="44" fontId="9" fillId="34" borderId="60" xfId="45" applyFont="1" applyFill="1" applyBorder="1" applyAlignment="1" applyProtection="1">
      <alignment/>
      <protection/>
    </xf>
    <xf numFmtId="174" fontId="10" fillId="34" borderId="15" xfId="0" applyNumberFormat="1" applyFont="1" applyFill="1" applyBorder="1" applyAlignment="1" applyProtection="1">
      <alignment horizontal="center" vertical="center"/>
      <protection/>
    </xf>
    <xf numFmtId="164" fontId="23" fillId="34" borderId="48" xfId="0" applyNumberFormat="1" applyFont="1" applyFill="1" applyBorder="1" applyAlignment="1" applyProtection="1">
      <alignment horizontal="center" vertical="center"/>
      <protection/>
    </xf>
    <xf numFmtId="164" fontId="23" fillId="34" borderId="49" xfId="0" applyNumberFormat="1" applyFont="1" applyFill="1" applyBorder="1" applyAlignment="1" applyProtection="1">
      <alignment horizontal="center" vertical="center"/>
      <protection/>
    </xf>
    <xf numFmtId="164" fontId="23" fillId="34" borderId="19" xfId="0" applyNumberFormat="1" applyFont="1" applyFill="1" applyBorder="1" applyAlignment="1" applyProtection="1">
      <alignment horizontal="center" vertical="center"/>
      <protection/>
    </xf>
    <xf numFmtId="164" fontId="23" fillId="34" borderId="44" xfId="0" applyNumberFormat="1" applyFont="1" applyFill="1" applyBorder="1" applyAlignment="1" applyProtection="1">
      <alignment horizontal="center" vertical="center"/>
      <protection/>
    </xf>
    <xf numFmtId="164" fontId="10" fillId="34" borderId="30" xfId="0" applyNumberFormat="1" applyFont="1" applyFill="1" applyBorder="1" applyAlignment="1" applyProtection="1">
      <alignment horizontal="center" vertical="center"/>
      <protection/>
    </xf>
    <xf numFmtId="0" fontId="0" fillId="34" borderId="0" xfId="0" applyFill="1" applyBorder="1" applyAlignment="1" applyProtection="1">
      <alignment horizontal="right"/>
      <protection/>
    </xf>
    <xf numFmtId="0" fontId="2" fillId="34" borderId="30" xfId="0" applyFont="1" applyFill="1" applyBorder="1" applyAlignment="1" applyProtection="1">
      <alignment horizontal="center"/>
      <protection/>
    </xf>
    <xf numFmtId="0" fontId="0" fillId="34" borderId="31" xfId="0" applyFill="1" applyBorder="1" applyAlignment="1" applyProtection="1">
      <alignment horizontal="center"/>
      <protection/>
    </xf>
    <xf numFmtId="14" fontId="2" fillId="34" borderId="30" xfId="0" applyNumberFormat="1" applyFont="1" applyFill="1" applyBorder="1" applyAlignment="1" applyProtection="1">
      <alignment horizontal="center"/>
      <protection/>
    </xf>
    <xf numFmtId="0" fontId="10" fillId="34" borderId="15" xfId="0" applyFont="1" applyFill="1" applyBorder="1" applyAlignment="1" applyProtection="1">
      <alignment horizontal="center" vertical="center"/>
      <protection/>
    </xf>
    <xf numFmtId="10" fontId="10" fillId="34" borderId="15" xfId="0" applyNumberFormat="1" applyFont="1" applyFill="1" applyBorder="1" applyAlignment="1" applyProtection="1">
      <alignment horizontal="center" vertical="center"/>
      <protection/>
    </xf>
    <xf numFmtId="10" fontId="10" fillId="34" borderId="31" xfId="0" applyNumberFormat="1" applyFont="1" applyFill="1" applyBorder="1" applyAlignment="1" applyProtection="1">
      <alignment horizontal="center" vertical="center"/>
      <protection/>
    </xf>
    <xf numFmtId="174" fontId="10" fillId="34" borderId="31" xfId="0" applyNumberFormat="1" applyFont="1" applyFill="1" applyBorder="1" applyAlignment="1" applyProtection="1">
      <alignment horizontal="center" vertical="center"/>
      <protection/>
    </xf>
    <xf numFmtId="164" fontId="10" fillId="33" borderId="15" xfId="0" applyNumberFormat="1" applyFont="1" applyFill="1" applyBorder="1" applyAlignment="1" applyProtection="1">
      <alignment horizontal="center" vertical="center"/>
      <protection/>
    </xf>
    <xf numFmtId="0" fontId="10" fillId="33" borderId="15" xfId="0" applyFont="1" applyFill="1" applyBorder="1" applyAlignment="1" applyProtection="1">
      <alignment horizontal="center" vertical="center"/>
      <protection/>
    </xf>
    <xf numFmtId="44" fontId="9" fillId="34" borderId="32" xfId="45" applyFont="1" applyFill="1" applyBorder="1" applyAlignment="1" applyProtection="1">
      <alignment shrinkToFit="1"/>
      <protection/>
    </xf>
    <xf numFmtId="44" fontId="9" fillId="34" borderId="61" xfId="45" applyFont="1" applyFill="1" applyBorder="1" applyAlignment="1" applyProtection="1">
      <alignment shrinkToFit="1"/>
      <protection/>
    </xf>
    <xf numFmtId="0" fontId="10" fillId="33" borderId="31" xfId="0" applyFont="1" applyFill="1" applyBorder="1" applyAlignment="1" applyProtection="1">
      <alignment horizontal="center" vertical="center"/>
      <protection/>
    </xf>
    <xf numFmtId="164" fontId="7" fillId="34" borderId="48" xfId="0" applyNumberFormat="1" applyFont="1" applyFill="1" applyBorder="1" applyAlignment="1" applyProtection="1">
      <alignment horizontal="center" vertical="center"/>
      <protection/>
    </xf>
    <xf numFmtId="164" fontId="7" fillId="34" borderId="49" xfId="0" applyNumberFormat="1" applyFont="1" applyFill="1" applyBorder="1" applyAlignment="1" applyProtection="1">
      <alignment horizontal="center" vertical="center"/>
      <protection/>
    </xf>
    <xf numFmtId="164" fontId="7" fillId="34" borderId="19" xfId="0" applyNumberFormat="1" applyFont="1" applyFill="1" applyBorder="1" applyAlignment="1" applyProtection="1">
      <alignment horizontal="center" vertical="center"/>
      <protection/>
    </xf>
    <xf numFmtId="164" fontId="7" fillId="34" borderId="44" xfId="0" applyNumberFormat="1" applyFont="1" applyFill="1" applyBorder="1" applyAlignment="1" applyProtection="1">
      <alignment horizontal="center" vertical="center"/>
      <protection/>
    </xf>
    <xf numFmtId="44" fontId="9" fillId="34" borderId="28" xfId="45" applyFont="1" applyFill="1" applyBorder="1" applyAlignment="1" applyProtection="1">
      <alignment/>
      <protection/>
    </xf>
    <xf numFmtId="172" fontId="15" fillId="37" borderId="27" xfId="0" applyNumberFormat="1" applyFont="1" applyFill="1" applyBorder="1" applyAlignment="1" applyProtection="1">
      <alignment horizontal="center" vertical="center"/>
      <protection locked="0"/>
    </xf>
    <xf numFmtId="172" fontId="0" fillId="37" borderId="28" xfId="0" applyNumberFormat="1" applyFont="1" applyFill="1" applyBorder="1" applyAlignment="1" applyProtection="1">
      <alignment horizontal="center" vertical="center"/>
      <protection locked="0"/>
    </xf>
    <xf numFmtId="0" fontId="2" fillId="38" borderId="48" xfId="0" applyFont="1" applyFill="1" applyBorder="1" applyAlignment="1">
      <alignment horizontal="center" vertical="center"/>
    </xf>
    <xf numFmtId="0" fontId="2" fillId="38" borderId="49" xfId="0" applyFont="1" applyFill="1" applyBorder="1" applyAlignment="1">
      <alignment horizontal="center" vertical="center"/>
    </xf>
    <xf numFmtId="0" fontId="6" fillId="38" borderId="30" xfId="0" applyFont="1" applyFill="1" applyBorder="1" applyAlignment="1">
      <alignment horizontal="center"/>
    </xf>
    <xf numFmtId="0" fontId="6" fillId="38" borderId="15" xfId="0" applyFont="1" applyFill="1" applyBorder="1" applyAlignment="1">
      <alignment horizontal="center"/>
    </xf>
    <xf numFmtId="0" fontId="6" fillId="38" borderId="31" xfId="0" applyFont="1" applyFill="1" applyBorder="1" applyAlignment="1">
      <alignment horizontal="center"/>
    </xf>
    <xf numFmtId="0" fontId="0" fillId="38" borderId="30" xfId="0" applyFont="1" applyFill="1" applyBorder="1" applyAlignment="1">
      <alignment horizontal="center"/>
    </xf>
    <xf numFmtId="0" fontId="0" fillId="38" borderId="31" xfId="0" applyFill="1" applyBorder="1" applyAlignment="1">
      <alignment horizontal="center"/>
    </xf>
    <xf numFmtId="0" fontId="0" fillId="38" borderId="26" xfId="0" applyFont="1" applyFill="1" applyBorder="1" applyAlignment="1">
      <alignment horizontal="center"/>
    </xf>
    <xf numFmtId="0" fontId="0" fillId="38" borderId="49" xfId="0" applyFont="1" applyFill="1" applyBorder="1" applyAlignment="1">
      <alignment horizontal="center"/>
    </xf>
    <xf numFmtId="0" fontId="0" fillId="38" borderId="48" xfId="0" applyFont="1" applyFill="1" applyBorder="1" applyAlignment="1">
      <alignment horizontal="center"/>
    </xf>
    <xf numFmtId="0" fontId="0" fillId="38" borderId="49" xfId="0" applyFill="1" applyBorder="1" applyAlignment="1">
      <alignment horizontal="center"/>
    </xf>
    <xf numFmtId="0" fontId="0" fillId="38" borderId="48" xfId="0" applyFont="1" applyFill="1" applyBorder="1" applyAlignment="1">
      <alignment horizontal="center"/>
    </xf>
    <xf numFmtId="172" fontId="0" fillId="37" borderId="27" xfId="0" applyNumberFormat="1" applyFont="1" applyFill="1" applyBorder="1" applyAlignment="1" applyProtection="1">
      <alignment horizontal="center" vertical="center"/>
      <protection locked="0"/>
    </xf>
    <xf numFmtId="0" fontId="2" fillId="33" borderId="40" xfId="0" applyFont="1" applyFill="1" applyBorder="1" applyAlignment="1">
      <alignment horizontal="center"/>
    </xf>
    <xf numFmtId="0" fontId="2" fillId="33" borderId="25" xfId="0" applyFont="1" applyFill="1" applyBorder="1" applyAlignment="1">
      <alignment horizontal="center"/>
    </xf>
    <xf numFmtId="0" fontId="2" fillId="33" borderId="42" xfId="0" applyFont="1" applyFill="1" applyBorder="1" applyAlignment="1">
      <alignment horizontal="center"/>
    </xf>
    <xf numFmtId="0" fontId="2" fillId="33" borderId="22" xfId="0" applyFont="1" applyFill="1" applyBorder="1" applyAlignment="1">
      <alignment horizontal="center"/>
    </xf>
    <xf numFmtId="0" fontId="6" fillId="33" borderId="27" xfId="0" applyFont="1" applyFill="1" applyBorder="1" applyAlignment="1">
      <alignment horizontal="center"/>
    </xf>
    <xf numFmtId="0" fontId="6" fillId="33" borderId="13" xfId="0" applyFont="1" applyFill="1" applyBorder="1" applyAlignment="1">
      <alignment horizontal="center"/>
    </xf>
    <xf numFmtId="0" fontId="6" fillId="33" borderId="28" xfId="0" applyFont="1" applyFill="1" applyBorder="1" applyAlignment="1">
      <alignment horizontal="center"/>
    </xf>
    <xf numFmtId="0" fontId="10" fillId="33" borderId="30" xfId="0" applyFont="1" applyFill="1" applyBorder="1" applyAlignment="1">
      <alignment horizontal="center"/>
    </xf>
    <xf numFmtId="0" fontId="10" fillId="33" borderId="15" xfId="0" applyFont="1" applyFill="1" applyBorder="1" applyAlignment="1">
      <alignment horizontal="center"/>
    </xf>
    <xf numFmtId="0" fontId="10" fillId="33" borderId="31" xfId="0" applyFont="1" applyFill="1" applyBorder="1" applyAlignment="1">
      <alignment horizontal="center"/>
    </xf>
    <xf numFmtId="0" fontId="2" fillId="33" borderId="48" xfId="0" applyFont="1" applyFill="1" applyBorder="1" applyAlignment="1">
      <alignment horizontal="center" vertical="top" wrapText="1"/>
    </xf>
    <xf numFmtId="0" fontId="2" fillId="33" borderId="49" xfId="0" applyFont="1" applyFill="1" applyBorder="1" applyAlignment="1">
      <alignment horizontal="center" vertical="top" wrapText="1"/>
    </xf>
    <xf numFmtId="0" fontId="2" fillId="33" borderId="19" xfId="0" applyFont="1" applyFill="1" applyBorder="1" applyAlignment="1">
      <alignment horizontal="center" vertical="top" wrapText="1"/>
    </xf>
    <xf numFmtId="0" fontId="2" fillId="33" borderId="44" xfId="0" applyFont="1" applyFill="1" applyBorder="1" applyAlignment="1">
      <alignment horizontal="center" vertical="top" wrapText="1"/>
    </xf>
    <xf numFmtId="0" fontId="10" fillId="33" borderId="30" xfId="0" applyFont="1" applyFill="1" applyBorder="1" applyAlignment="1">
      <alignment horizontal="center"/>
    </xf>
    <xf numFmtId="0" fontId="0" fillId="0" borderId="26" xfId="0" applyBorder="1" applyAlignment="1">
      <alignment horizontal="center"/>
    </xf>
    <xf numFmtId="0" fontId="2" fillId="33" borderId="30" xfId="0" applyFont="1" applyFill="1" applyBorder="1" applyAlignment="1">
      <alignment horizontal="center"/>
    </xf>
    <xf numFmtId="0" fontId="0" fillId="33" borderId="31" xfId="0" applyFont="1" applyFill="1" applyBorder="1" applyAlignment="1">
      <alignment horizontal="center"/>
    </xf>
    <xf numFmtId="0" fontId="2" fillId="33" borderId="62" xfId="0" applyFont="1" applyFill="1" applyBorder="1" applyAlignment="1">
      <alignment horizontal="center"/>
    </xf>
    <xf numFmtId="0" fontId="2" fillId="33" borderId="63" xfId="0" applyFont="1" applyFill="1" applyBorder="1" applyAlignment="1">
      <alignment horizontal="center"/>
    </xf>
    <xf numFmtId="0" fontId="2" fillId="33" borderId="64" xfId="0" applyFont="1" applyFill="1" applyBorder="1" applyAlignment="1">
      <alignment horizontal="center"/>
    </xf>
    <xf numFmtId="0" fontId="2" fillId="33" borderId="54" xfId="0" applyFont="1" applyFill="1" applyBorder="1"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Kostenvergleich Standardhaus zu Passivhaus 
Entwicklung der Gesamtkosten pro Jahr über 50 Jahre</a:t>
            </a:r>
          </a:p>
        </c:rich>
      </c:tx>
      <c:layout>
        <c:manualLayout>
          <c:xMode val="factor"/>
          <c:yMode val="factor"/>
          <c:x val="-0.086"/>
          <c:y val="0.003"/>
        </c:manualLayout>
      </c:layout>
      <c:spPr>
        <a:noFill/>
        <a:ln w="3175">
          <a:noFill/>
        </a:ln>
      </c:spPr>
    </c:title>
    <c:plotArea>
      <c:layout>
        <c:manualLayout>
          <c:xMode val="edge"/>
          <c:yMode val="edge"/>
          <c:x val="0.04525"/>
          <c:y val="0.17725"/>
          <c:w val="0.8925"/>
          <c:h val="0.74275"/>
        </c:manualLayout>
      </c:layout>
      <c:lineChart>
        <c:grouping val="standard"/>
        <c:varyColors val="0"/>
        <c:ser>
          <c:idx val="0"/>
          <c:order val="0"/>
          <c:tx>
            <c:v>Standardhaus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Daten!$Q$6:$Q$55</c:f>
              <c:numCach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cat>
          <c:val>
            <c:numRef>
              <c:f>Daten!$U$6:$U$55</c:f>
              <c:numCache>
                <c:ptCount val="50"/>
                <c:pt idx="0">
                  <c:v>26268.019895372476</c:v>
                </c:pt>
                <c:pt idx="1">
                  <c:v>26313.665320372475</c:v>
                </c:pt>
                <c:pt idx="2">
                  <c:v>26361.540516622474</c:v>
                </c:pt>
                <c:pt idx="3">
                  <c:v>26411.756185184975</c:v>
                </c:pt>
                <c:pt idx="4">
                  <c:v>26464.4285503631</c:v>
                </c:pt>
                <c:pt idx="5">
                  <c:v>26519.679635685443</c:v>
                </c:pt>
                <c:pt idx="6">
                  <c:v>26577.6375536875</c:v>
                </c:pt>
                <c:pt idx="7">
                  <c:v>26638.43681017945</c:v>
                </c:pt>
                <c:pt idx="8">
                  <c:v>26702.21862372464</c:v>
                </c:pt>
                <c:pt idx="9">
                  <c:v>26769.131261089165</c:v>
                </c:pt>
                <c:pt idx="10">
                  <c:v>26839.33038946112</c:v>
                </c:pt>
                <c:pt idx="11">
                  <c:v>26912.979446277965</c:v>
                </c:pt>
                <c:pt idx="12">
                  <c:v>26990.250027542337</c:v>
                </c:pt>
                <c:pt idx="13">
                  <c:v>27071.322295550715</c:v>
                </c:pt>
                <c:pt idx="14">
                  <c:v>27156.38540700551</c:v>
                </c:pt>
                <c:pt idx="15">
                  <c:v>27245.63796252973</c:v>
                </c:pt>
                <c:pt idx="16">
                  <c:v>27339.288478654307</c:v>
                </c:pt>
                <c:pt idx="17">
                  <c:v>27437.55588340161</c:v>
                </c:pt>
                <c:pt idx="18">
                  <c:v>27540.670036645024</c:v>
                </c:pt>
                <c:pt idx="19">
                  <c:v>27648.872276481205</c:v>
                </c:pt>
                <c:pt idx="20">
                  <c:v>2477.3045975575087</c:v>
                </c:pt>
                <c:pt idx="21">
                  <c:v>2596.4558349124586</c:v>
                </c:pt>
                <c:pt idx="22">
                  <c:v>2721.493924247312</c:v>
                </c:pt>
                <c:pt idx="23">
                  <c:v>2852.712147512747</c:v>
                </c:pt>
                <c:pt idx="24">
                  <c:v>2990.41843484725</c:v>
                </c:pt>
                <c:pt idx="25">
                  <c:v>3134.936096747861</c:v>
                </c:pt>
                <c:pt idx="26">
                  <c:v>3286.604592845876</c:v>
                </c:pt>
                <c:pt idx="27">
                  <c:v>3445.7803391177013</c:v>
                </c:pt>
                <c:pt idx="28">
                  <c:v>3612.8375554525605</c:v>
                </c:pt>
                <c:pt idx="29">
                  <c:v>3788.169155594848</c:v>
                </c:pt>
                <c:pt idx="30">
                  <c:v>3972.187681579794</c:v>
                </c:pt>
                <c:pt idx="31">
                  <c:v>4165.326284887066</c:v>
                </c:pt>
                <c:pt idx="32">
                  <c:v>4368.039756648126</c:v>
                </c:pt>
                <c:pt idx="33">
                  <c:v>4580.805609359989</c:v>
                </c:pt>
                <c:pt idx="34">
                  <c:v>4804.125212680637</c:v>
                </c:pt>
                <c:pt idx="35">
                  <c:v>5038.524986010108</c:v>
                </c:pt>
                <c:pt idx="36">
                  <c:v>5284.557650696483</c:v>
                </c:pt>
                <c:pt idx="37">
                  <c:v>5542.803544847965</c:v>
                </c:pt>
                <c:pt idx="38">
                  <c:v>5813.872003881272</c:v>
                </c:pt>
                <c:pt idx="39">
                  <c:v>6098.402810093106</c:v>
                </c:pt>
                <c:pt idx="40">
                  <c:v>6397.0677147057995</c:v>
                </c:pt>
                <c:pt idx="41">
                  <c:v>6710.572036010748</c:v>
                </c:pt>
                <c:pt idx="42">
                  <c:v>7039.656337414489</c:v>
                </c:pt>
                <c:pt idx="43">
                  <c:v>7385.098189382465</c:v>
                </c:pt>
                <c:pt idx="44">
                  <c:v>7747.714019475298</c:v>
                </c:pt>
                <c:pt idx="45">
                  <c:v>8128.36105488213</c:v>
                </c:pt>
                <c:pt idx="46">
                  <c:v>8527.939362075798</c:v>
                </c:pt>
                <c:pt idx="47">
                  <c:v>8947.393988445892</c:v>
                </c:pt>
                <c:pt idx="48">
                  <c:v>9387.717211008487</c:v>
                </c:pt>
                <c:pt idx="49">
                  <c:v>9849.950897546316</c:v>
                </c:pt>
              </c:numCache>
            </c:numRef>
          </c:val>
          <c:smooth val="0"/>
        </c:ser>
        <c:ser>
          <c:idx val="1"/>
          <c:order val="1"/>
          <c:tx>
            <c:v>Passivhaus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Daten!$Q$6:$Q$55</c:f>
              <c:numCach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cat>
          <c:val>
            <c:numRef>
              <c:f>Daten!$Z$6:$Z$55</c:f>
              <c:numCache>
                <c:ptCount val="50"/>
                <c:pt idx="0">
                  <c:v>26268.019895372476</c:v>
                </c:pt>
                <c:pt idx="1">
                  <c:v>26313.665320372475</c:v>
                </c:pt>
                <c:pt idx="2">
                  <c:v>26361.540516622477</c:v>
                </c:pt>
                <c:pt idx="3">
                  <c:v>26411.75618518498</c:v>
                </c:pt>
                <c:pt idx="4">
                  <c:v>26464.4285503631</c:v>
                </c:pt>
                <c:pt idx="5">
                  <c:v>26519.679635685447</c:v>
                </c:pt>
                <c:pt idx="6">
                  <c:v>26577.6375536875</c:v>
                </c:pt>
                <c:pt idx="7">
                  <c:v>26638.436810179446</c:v>
                </c:pt>
                <c:pt idx="8">
                  <c:v>26702.21862372464</c:v>
                </c:pt>
                <c:pt idx="9">
                  <c:v>26769.13126108917</c:v>
                </c:pt>
                <c:pt idx="10">
                  <c:v>26839.33038946112</c:v>
                </c:pt>
                <c:pt idx="11">
                  <c:v>26912.979446277965</c:v>
                </c:pt>
                <c:pt idx="12">
                  <c:v>26990.250027542337</c:v>
                </c:pt>
                <c:pt idx="13">
                  <c:v>27071.322295550715</c:v>
                </c:pt>
                <c:pt idx="14">
                  <c:v>27156.385407005506</c:v>
                </c:pt>
                <c:pt idx="15">
                  <c:v>27245.637962529734</c:v>
                </c:pt>
                <c:pt idx="16">
                  <c:v>27339.288478654307</c:v>
                </c:pt>
                <c:pt idx="17">
                  <c:v>27437.55588340161</c:v>
                </c:pt>
                <c:pt idx="18">
                  <c:v>27540.67003664502</c:v>
                </c:pt>
                <c:pt idx="19">
                  <c:v>27648.87227648324</c:v>
                </c:pt>
                <c:pt idx="20">
                  <c:v>14297.949282303516</c:v>
                </c:pt>
                <c:pt idx="21">
                  <c:v>1057.2323890308016</c:v>
                </c:pt>
                <c:pt idx="22">
                  <c:v>1102.199249504573</c:v>
                </c:pt>
                <c:pt idx="23">
                  <c:v>1149.296031617366</c:v>
                </c:pt>
                <c:pt idx="24">
                  <c:v>1198.6274551303623</c:v>
                </c:pt>
                <c:pt idx="25">
                  <c:v>1250.3034491479902</c:v>
                </c:pt>
                <c:pt idx="26">
                  <c:v>1304.4394121854161</c:v>
                </c:pt>
                <c:pt idx="27">
                  <c:v>1361.156485233414</c:v>
                </c:pt>
                <c:pt idx="28">
                  <c:v>1420.5818384703925</c:v>
                </c:pt>
                <c:pt idx="29">
                  <c:v>1482.8489723038497</c:v>
                </c:pt>
                <c:pt idx="30">
                  <c:v>1548.0980334576286</c:v>
                </c:pt>
                <c:pt idx="31">
                  <c:v>1616.4761468571753</c:v>
                </c:pt>
                <c:pt idx="32">
                  <c:v>1688.1377641025992</c:v>
                </c:pt>
                <c:pt idx="33">
                  <c:v>1763.2450293588329</c:v>
                </c:pt>
                <c:pt idx="34">
                  <c:v>1841.9681635336447</c:v>
                </c:pt>
                <c:pt idx="35">
                  <c:v>1924.4858676578003</c:v>
                </c:pt>
                <c:pt idx="36">
                  <c:v>2010.985746427376</c:v>
                </c:pt>
                <c:pt idx="37">
                  <c:v>2101.6647529162306</c:v>
                </c:pt>
                <c:pt idx="38">
                  <c:v>2196.72965551704</c:v>
                </c:pt>
                <c:pt idx="39">
                  <c:v>2296.397528222215</c:v>
                </c:pt>
                <c:pt idx="40">
                  <c:v>2400.896265411589</c:v>
                </c:pt>
                <c:pt idx="41">
                  <c:v>2510.4651223721053</c:v>
                </c:pt>
                <c:pt idx="42">
                  <c:v>2625.355282835996</c:v>
                </c:pt>
                <c:pt idx="43">
                  <c:v>2745.830454888261</c:v>
                </c:pt>
                <c:pt idx="44">
                  <c:v>2872.1674966617966</c:v>
                </c:pt>
                <c:pt idx="45">
                  <c:v>3004.6570733094454</c:v>
                </c:pt>
                <c:pt idx="46">
                  <c:v>3143.6043468166945</c:v>
                </c:pt>
                <c:pt idx="47">
                  <c:v>3289.3297002969334</c:v>
                </c:pt>
                <c:pt idx="48">
                  <c:v>3442.169498493275</c:v>
                </c:pt>
                <c:pt idx="49">
                  <c:v>3602.4768862971564</c:v>
                </c:pt>
              </c:numCache>
            </c:numRef>
          </c:val>
          <c:smooth val="0"/>
        </c:ser>
        <c:marker val="1"/>
        <c:axId val="2944863"/>
        <c:axId val="26503768"/>
      </c:lineChart>
      <c:catAx>
        <c:axId val="2944863"/>
        <c:scaling>
          <c:orientation val="minMax"/>
        </c:scaling>
        <c:axPos val="b"/>
        <c:title>
          <c:tx>
            <c:rich>
              <a:bodyPr vert="horz" rot="0" anchor="ctr"/>
              <a:lstStyle/>
              <a:p>
                <a:pPr algn="ctr">
                  <a:defRPr/>
                </a:pPr>
                <a:r>
                  <a:rPr lang="en-US" cap="none" sz="875" b="0" i="0" u="none" baseline="0">
                    <a:solidFill>
                      <a:srgbClr val="000000"/>
                    </a:solidFill>
                    <a:latin typeface="Arial"/>
                    <a:ea typeface="Arial"/>
                    <a:cs typeface="Arial"/>
                  </a:rPr>
                  <a:t>Jahre</a:t>
                </a:r>
              </a:p>
            </c:rich>
          </c:tx>
          <c:layout>
            <c:manualLayout>
              <c:xMode val="factor"/>
              <c:yMode val="factor"/>
              <c:x val="-0.01175"/>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6503768"/>
        <c:crosses val="autoZero"/>
        <c:auto val="1"/>
        <c:lblOffset val="100"/>
        <c:tickLblSkip val="2"/>
        <c:noMultiLvlLbl val="0"/>
      </c:catAx>
      <c:valAx>
        <c:axId val="26503768"/>
        <c:scaling>
          <c:orientation val="minMax"/>
        </c:scaling>
        <c:axPos val="l"/>
        <c:title>
          <c:tx>
            <c:rich>
              <a:bodyPr vert="horz" rot="-5400000" anchor="ctr"/>
              <a:lstStyle/>
              <a:p>
                <a:pPr algn="ctr">
                  <a:defRPr/>
                </a:pPr>
                <a:r>
                  <a:rPr lang="en-US" cap="none" sz="875" b="0" i="0" u="none" baseline="0">
                    <a:solidFill>
                      <a:srgbClr val="000000"/>
                    </a:solidFill>
                    <a:latin typeface="Arial"/>
                    <a:ea typeface="Arial"/>
                    <a:cs typeface="Arial"/>
                  </a:rPr>
                  <a:t>Gesamtkosten pro Jahr .</a:t>
                </a:r>
              </a:p>
            </c:rich>
          </c:tx>
          <c:layout>
            <c:manualLayout>
              <c:xMode val="factor"/>
              <c:yMode val="factor"/>
              <c:x val="-0.029"/>
              <c:y val="0"/>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44863"/>
        <c:crossesAt val="1"/>
        <c:crossBetween val="between"/>
        <c:dispUnits/>
      </c:valAx>
      <c:spPr>
        <a:solidFill>
          <a:srgbClr val="C0C0C0"/>
        </a:solidFill>
        <a:ln w="12700">
          <a:solidFill>
            <a:srgbClr val="808080"/>
          </a:solidFill>
        </a:ln>
      </c:spPr>
    </c:plotArea>
    <c:legend>
      <c:legendPos val="t"/>
      <c:layout>
        <c:manualLayout>
          <c:xMode val="edge"/>
          <c:yMode val="edge"/>
          <c:x val="0.76525"/>
          <c:y val="0.046"/>
          <c:w val="0.183"/>
          <c:h val="0.112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Zusammensetzung der Gesamtkosten über den Betrachtungszeitraum</a:t>
            </a:r>
          </a:p>
        </c:rich>
      </c:tx>
      <c:layout>
        <c:manualLayout>
          <c:xMode val="factor"/>
          <c:yMode val="factor"/>
          <c:x val="-0.00475"/>
          <c:y val="0.015"/>
        </c:manualLayout>
      </c:layout>
      <c:spPr>
        <a:noFill/>
        <a:ln w="3175">
          <a:noFill/>
        </a:ln>
      </c:spPr>
    </c:title>
    <c:plotArea>
      <c:layout>
        <c:manualLayout>
          <c:xMode val="edge"/>
          <c:yMode val="edge"/>
          <c:x val="0.0465"/>
          <c:y val="0.10575"/>
          <c:w val="0.734"/>
          <c:h val="0.858"/>
        </c:manualLayout>
      </c:layout>
      <c:barChart>
        <c:barDir val="col"/>
        <c:grouping val="stacked"/>
        <c:varyColors val="0"/>
        <c:ser>
          <c:idx val="0"/>
          <c:order val="0"/>
          <c:tx>
            <c:v>Darlehen Hausbank</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Lit>
              <c:ptCount val="2"/>
              <c:pt idx="0">
                <c:v>Standardhaus </c:v>
              </c:pt>
              <c:pt idx="1">
                <c:v> Passivhaus</c:v>
              </c:pt>
            </c:strLit>
          </c:cat>
          <c:val>
            <c:numRef>
              <c:f>(Daten!$AD$6,Daten!$AD$12)</c:f>
              <c:numCache>
                <c:ptCount val="2"/>
                <c:pt idx="0">
                  <c:v>397637.50000000006</c:v>
                </c:pt>
                <c:pt idx="1">
                  <c:v>362556.02203511493</c:v>
                </c:pt>
              </c:numCache>
            </c:numRef>
          </c:val>
        </c:ser>
        <c:ser>
          <c:idx val="1"/>
          <c:order val="1"/>
          <c:tx>
            <c:v>KfW-Kredit</c:v>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Lit>
              <c:ptCount val="2"/>
              <c:pt idx="0">
                <c:v>Standardhaus </c:v>
              </c:pt>
              <c:pt idx="1">
                <c:v> Passivhaus</c:v>
              </c:pt>
            </c:strLit>
          </c:cat>
          <c:val>
            <c:numRef>
              <c:f>(Daten!$AE$6,Daten!$AE$12)</c:f>
              <c:numCache>
                <c:ptCount val="2"/>
                <c:pt idx="0">
                  <c:v>0</c:v>
                </c:pt>
                <c:pt idx="1">
                  <c:v>48811.18023813195</c:v>
                </c:pt>
              </c:numCache>
            </c:numRef>
          </c:val>
        </c:ser>
        <c:ser>
          <c:idx val="2"/>
          <c:order val="2"/>
          <c:tx>
            <c:v>Sondertilgung</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Lit>
              <c:ptCount val="2"/>
              <c:pt idx="0">
                <c:v>Standardhaus </c:v>
              </c:pt>
              <c:pt idx="1">
                <c:v> Passivhaus</c:v>
              </c:pt>
            </c:strLit>
          </c:cat>
          <c:val>
            <c:numRef>
              <c:f>(Daten!$AF$6,Daten!$AF$12)</c:f>
              <c:numCache>
                <c:ptCount val="2"/>
                <c:pt idx="0">
                  <c:v>0</c:v>
                </c:pt>
                <c:pt idx="1">
                  <c:v>17820.297726753164</c:v>
                </c:pt>
              </c:numCache>
            </c:numRef>
          </c:val>
        </c:ser>
        <c:ser>
          <c:idx val="3"/>
          <c:order val="3"/>
          <c:tx>
            <c:v>Zinsen</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Lit>
              <c:ptCount val="2"/>
              <c:pt idx="0">
                <c:v>Standardhaus </c:v>
              </c:pt>
              <c:pt idx="1">
                <c:v> Passivhaus</c:v>
              </c:pt>
            </c:strLit>
          </c:cat>
          <c:val>
            <c:numRef>
              <c:f>(Daten!$AG$6,Daten!$AG$12)</c:f>
              <c:numCache>
                <c:ptCount val="2"/>
                <c:pt idx="0">
                  <c:v>108064.72790744765</c:v>
                </c:pt>
                <c:pt idx="1">
                  <c:v>107618.67922441699</c:v>
                </c:pt>
              </c:numCache>
            </c:numRef>
          </c:val>
        </c:ser>
        <c:ser>
          <c:idx val="4"/>
          <c:order val="4"/>
          <c:tx>
            <c:v>Energiekosten</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Lit>
              <c:ptCount val="2"/>
              <c:pt idx="0">
                <c:v>Standardhaus </c:v>
              </c:pt>
              <c:pt idx="1">
                <c:v> Passivhaus</c:v>
              </c:pt>
            </c:strLit>
          </c:cat>
          <c:val>
            <c:numRef>
              <c:f>(Daten!$AH$6,Daten!$AH$12)</c:f>
              <c:numCache>
                <c:ptCount val="2"/>
                <c:pt idx="0">
                  <c:v>58659.42319061418</c:v>
                </c:pt>
                <c:pt idx="1">
                  <c:v>19833.37947094452</c:v>
                </c:pt>
              </c:numCache>
            </c:numRef>
          </c:val>
        </c:ser>
        <c:ser>
          <c:idx val="5"/>
          <c:order val="5"/>
          <c:tx>
            <c:v>Betriebskosten</c:v>
          </c:tx>
          <c:spPr>
            <a:solidFill>
              <a:srgbClr val="F7964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Lit>
              <c:ptCount val="2"/>
              <c:pt idx="0">
                <c:v>Standardhaus </c:v>
              </c:pt>
              <c:pt idx="1">
                <c:v> Passivhaus</c:v>
              </c:pt>
            </c:strLit>
          </c:cat>
          <c:val>
            <c:numRef>
              <c:f>(Daten!$AI$6,Daten!$AI$12)</c:f>
              <c:numCache>
                <c:ptCount val="2"/>
                <c:pt idx="0">
                  <c:v>3753.8681366057062</c:v>
                </c:pt>
                <c:pt idx="1">
                  <c:v>6193.8824253994135</c:v>
                </c:pt>
              </c:numCache>
            </c:numRef>
          </c:val>
        </c:ser>
        <c:overlap val="100"/>
        <c:axId val="37207321"/>
        <c:axId val="66430434"/>
      </c:barChart>
      <c:catAx>
        <c:axId val="37207321"/>
        <c:scaling>
          <c:orientation val="minMax"/>
        </c:scaling>
        <c:axPos val="b"/>
        <c:delete val="0"/>
        <c:numFmt formatCode="General" sourceLinked="1"/>
        <c:majorTickMark val="out"/>
        <c:minorTickMark val="none"/>
        <c:tickLblPos val="nextTo"/>
        <c:spPr>
          <a:ln w="3175">
            <a:solidFill>
              <a:srgbClr val="000000"/>
            </a:solidFill>
          </a:ln>
        </c:spPr>
        <c:crossAx val="66430434"/>
        <c:crosses val="autoZero"/>
        <c:auto val="0"/>
        <c:lblOffset val="100"/>
        <c:tickLblSkip val="1"/>
        <c:noMultiLvlLbl val="0"/>
      </c:catAx>
      <c:valAx>
        <c:axId val="66430434"/>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Gesamtkosten .</a:t>
                </a:r>
              </a:p>
            </c:rich>
          </c:tx>
          <c:layout>
            <c:manualLayout>
              <c:xMode val="factor"/>
              <c:yMode val="factor"/>
              <c:x val="-0.03725"/>
              <c:y val="0.005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207321"/>
        <c:crossesAt val="1"/>
        <c:crossBetween val="between"/>
        <c:dispUnits/>
      </c:valAx>
      <c:spPr>
        <a:solidFill>
          <a:srgbClr val="C0C0C0"/>
        </a:solidFill>
        <a:ln w="12700">
          <a:solidFill>
            <a:srgbClr val="808080"/>
          </a:solidFill>
        </a:ln>
      </c:spPr>
    </c:plotArea>
    <c:legend>
      <c:legendPos val="r"/>
      <c:layout>
        <c:manualLayout>
          <c:xMode val="edge"/>
          <c:yMode val="edge"/>
          <c:x val="0.795"/>
          <c:y val="0.37625"/>
          <c:w val="0.17675"/>
          <c:h val="0.2902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Kostenvergleich Standardhaus zu Passivhaus
Entwicklung der Gesamtkosten über 50 Jahre</a:t>
            </a:r>
          </a:p>
        </c:rich>
      </c:tx>
      <c:layout>
        <c:manualLayout>
          <c:xMode val="factor"/>
          <c:yMode val="factor"/>
          <c:x val="-0.095"/>
          <c:y val="-0.0025"/>
        </c:manualLayout>
      </c:layout>
      <c:spPr>
        <a:noFill/>
        <a:ln w="3175">
          <a:noFill/>
        </a:ln>
      </c:spPr>
    </c:title>
    <c:plotArea>
      <c:layout>
        <c:manualLayout>
          <c:xMode val="edge"/>
          <c:yMode val="edge"/>
          <c:x val="0.03425"/>
          <c:y val="0.13525"/>
          <c:w val="0.90825"/>
          <c:h val="0.7935"/>
        </c:manualLayout>
      </c:layout>
      <c:lineChart>
        <c:grouping val="standard"/>
        <c:varyColors val="0"/>
        <c:ser>
          <c:idx val="0"/>
          <c:order val="0"/>
          <c:tx>
            <c:v>Standardhaus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Daten!$B$6:$B$55</c:f>
              <c:numCach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cat>
          <c:val>
            <c:numRef>
              <c:f>Daten!$F$6:$F$55</c:f>
              <c:numCache>
                <c:ptCount val="50"/>
                <c:pt idx="0">
                  <c:v>26268.019895372476</c:v>
                </c:pt>
                <c:pt idx="1">
                  <c:v>52581.68521574495</c:v>
                </c:pt>
                <c:pt idx="2">
                  <c:v>78943.22573236743</c:v>
                </c:pt>
                <c:pt idx="3">
                  <c:v>105354.9819175524</c:v>
                </c:pt>
                <c:pt idx="4">
                  <c:v>131819.41046791547</c:v>
                </c:pt>
                <c:pt idx="5">
                  <c:v>158339.09010360093</c:v>
                </c:pt>
                <c:pt idx="6">
                  <c:v>184916.72765728843</c:v>
                </c:pt>
                <c:pt idx="7">
                  <c:v>211555.16446746793</c:v>
                </c:pt>
                <c:pt idx="8">
                  <c:v>238257.38309119258</c:v>
                </c:pt>
                <c:pt idx="9">
                  <c:v>265026.51435228175</c:v>
                </c:pt>
                <c:pt idx="10">
                  <c:v>291865.8447417428</c:v>
                </c:pt>
                <c:pt idx="11">
                  <c:v>318778.8241880209</c:v>
                </c:pt>
                <c:pt idx="12">
                  <c:v>345769.0742155632</c:v>
                </c:pt>
                <c:pt idx="13">
                  <c:v>372840.3965111139</c:v>
                </c:pt>
                <c:pt idx="14">
                  <c:v>399996.7819181194</c:v>
                </c:pt>
                <c:pt idx="15">
                  <c:v>427242.4198806492</c:v>
                </c:pt>
                <c:pt idx="16">
                  <c:v>454581.7083593035</c:v>
                </c:pt>
                <c:pt idx="17">
                  <c:v>482019.26424270513</c:v>
                </c:pt>
                <c:pt idx="18">
                  <c:v>509559.9342793502</c:v>
                </c:pt>
                <c:pt idx="19">
                  <c:v>537208.8065558315</c:v>
                </c:pt>
                <c:pt idx="20">
                  <c:v>539686.1111533889</c:v>
                </c:pt>
                <c:pt idx="21">
                  <c:v>542282.5669883013</c:v>
                </c:pt>
                <c:pt idx="22">
                  <c:v>545004.0609125487</c:v>
                </c:pt>
                <c:pt idx="23">
                  <c:v>547856.7730600614</c:v>
                </c:pt>
                <c:pt idx="24">
                  <c:v>550847.1914949086</c:v>
                </c:pt>
                <c:pt idx="25">
                  <c:v>553982.1275916565</c:v>
                </c:pt>
                <c:pt idx="26">
                  <c:v>557268.7321845024</c:v>
                </c:pt>
                <c:pt idx="27">
                  <c:v>560714.51252362</c:v>
                </c:pt>
                <c:pt idx="28">
                  <c:v>564327.3500790726</c:v>
                </c:pt>
                <c:pt idx="29">
                  <c:v>568115.5192346675</c:v>
                </c:pt>
                <c:pt idx="30">
                  <c:v>572087.7069162473</c:v>
                </c:pt>
                <c:pt idx="31">
                  <c:v>576253.0332011343</c:v>
                </c:pt>
                <c:pt idx="32">
                  <c:v>580621.0729577824</c:v>
                </c:pt>
                <c:pt idx="33">
                  <c:v>585201.8785671424</c:v>
                </c:pt>
                <c:pt idx="34">
                  <c:v>590006.0037798231</c:v>
                </c:pt>
                <c:pt idx="35">
                  <c:v>595044.5287658332</c:v>
                </c:pt>
                <c:pt idx="36">
                  <c:v>600329.0864165297</c:v>
                </c:pt>
                <c:pt idx="37">
                  <c:v>605871.8899613776</c:v>
                </c:pt>
                <c:pt idx="38">
                  <c:v>611685.761965259</c:v>
                </c:pt>
                <c:pt idx="39">
                  <c:v>617784.164775352</c:v>
                </c:pt>
                <c:pt idx="40">
                  <c:v>624181.2324900578</c:v>
                </c:pt>
                <c:pt idx="41">
                  <c:v>630891.8045260686</c:v>
                </c:pt>
                <c:pt idx="42">
                  <c:v>637931.460863483</c:v>
                </c:pt>
                <c:pt idx="43">
                  <c:v>645316.5590528655</c:v>
                </c:pt>
                <c:pt idx="44">
                  <c:v>653064.2730723409</c:v>
                </c:pt>
                <c:pt idx="45">
                  <c:v>661192.6341272229</c:v>
                </c:pt>
                <c:pt idx="46">
                  <c:v>669720.5734892988</c:v>
                </c:pt>
                <c:pt idx="47">
                  <c:v>678667.9674777447</c:v>
                </c:pt>
                <c:pt idx="48">
                  <c:v>688055.6846887531</c:v>
                </c:pt>
                <c:pt idx="49">
                  <c:v>697905.6355862995</c:v>
                </c:pt>
              </c:numCache>
            </c:numRef>
          </c:val>
          <c:smooth val="0"/>
        </c:ser>
        <c:ser>
          <c:idx val="1"/>
          <c:order val="1"/>
          <c:tx>
            <c:v>Passivhaus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Daten!$B$6:$B$55</c:f>
              <c:numCach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cat>
          <c:val>
            <c:numRef>
              <c:f>Daten!$M$6:$M$55</c:f>
              <c:numCache>
                <c:ptCount val="50"/>
                <c:pt idx="0">
                  <c:v>26268.019895372483</c:v>
                </c:pt>
                <c:pt idx="1">
                  <c:v>52581.68521574496</c:v>
                </c:pt>
                <c:pt idx="2">
                  <c:v>78943.22573236744</c:v>
                </c:pt>
                <c:pt idx="3">
                  <c:v>105354.98191755242</c:v>
                </c:pt>
                <c:pt idx="4">
                  <c:v>131819.41046791553</c:v>
                </c:pt>
                <c:pt idx="5">
                  <c:v>158339.09010360096</c:v>
                </c:pt>
                <c:pt idx="6">
                  <c:v>184916.7276572885</c:v>
                </c:pt>
                <c:pt idx="7">
                  <c:v>211555.16446746796</c:v>
                </c:pt>
                <c:pt idx="8">
                  <c:v>238257.3830911926</c:v>
                </c:pt>
                <c:pt idx="9">
                  <c:v>265026.51435228175</c:v>
                </c:pt>
                <c:pt idx="10">
                  <c:v>291865.84474174294</c:v>
                </c:pt>
                <c:pt idx="11">
                  <c:v>318778.82418802084</c:v>
                </c:pt>
                <c:pt idx="12">
                  <c:v>345769.07421556313</c:v>
                </c:pt>
                <c:pt idx="13">
                  <c:v>372840.39651111385</c:v>
                </c:pt>
                <c:pt idx="14">
                  <c:v>399996.78191811935</c:v>
                </c:pt>
                <c:pt idx="15">
                  <c:v>427242.4198806491</c:v>
                </c:pt>
                <c:pt idx="16">
                  <c:v>454581.7083593034</c:v>
                </c:pt>
                <c:pt idx="17">
                  <c:v>482019.264242705</c:v>
                </c:pt>
                <c:pt idx="18">
                  <c:v>509559.93427935004</c:v>
                </c:pt>
                <c:pt idx="19">
                  <c:v>537208.8065558332</c:v>
                </c:pt>
                <c:pt idx="20">
                  <c:v>551506.7558381367</c:v>
                </c:pt>
                <c:pt idx="21">
                  <c:v>552563.9882271675</c:v>
                </c:pt>
                <c:pt idx="22">
                  <c:v>553666.1874766721</c:v>
                </c:pt>
                <c:pt idx="23">
                  <c:v>554815.4835082894</c:v>
                </c:pt>
                <c:pt idx="24">
                  <c:v>556014.1109634198</c:v>
                </c:pt>
                <c:pt idx="25">
                  <c:v>557264.4144125679</c:v>
                </c:pt>
                <c:pt idx="26">
                  <c:v>558568.8538247533</c:v>
                </c:pt>
                <c:pt idx="27">
                  <c:v>559930.0103099865</c:v>
                </c:pt>
                <c:pt idx="28">
                  <c:v>561350.592148457</c:v>
                </c:pt>
                <c:pt idx="29">
                  <c:v>562833.4411207609</c:v>
                </c:pt>
                <c:pt idx="30">
                  <c:v>564381.5391542185</c:v>
                </c:pt>
                <c:pt idx="31">
                  <c:v>565998.0153010758</c:v>
                </c:pt>
                <c:pt idx="32">
                  <c:v>567686.1530651783</c:v>
                </c:pt>
                <c:pt idx="33">
                  <c:v>569449.3980945371</c:v>
                </c:pt>
                <c:pt idx="34">
                  <c:v>571291.3662580708</c:v>
                </c:pt>
                <c:pt idx="35">
                  <c:v>573215.8521257286</c:v>
                </c:pt>
                <c:pt idx="36">
                  <c:v>575226.837872156</c:v>
                </c:pt>
                <c:pt idx="37">
                  <c:v>577328.5026250721</c:v>
                </c:pt>
                <c:pt idx="38">
                  <c:v>579525.2322805892</c:v>
                </c:pt>
                <c:pt idx="39">
                  <c:v>581821.6298088114</c:v>
                </c:pt>
                <c:pt idx="40">
                  <c:v>584222.526074223</c:v>
                </c:pt>
                <c:pt idx="41">
                  <c:v>586732.9911965951</c:v>
                </c:pt>
                <c:pt idx="42">
                  <c:v>589358.3464794311</c:v>
                </c:pt>
                <c:pt idx="43">
                  <c:v>592104.1769343194</c:v>
                </c:pt>
                <c:pt idx="44">
                  <c:v>594976.3444309812</c:v>
                </c:pt>
                <c:pt idx="45">
                  <c:v>597981.0015042906</c:v>
                </c:pt>
                <c:pt idx="46">
                  <c:v>601124.6058511073</c:v>
                </c:pt>
                <c:pt idx="47">
                  <c:v>604413.9355514043</c:v>
                </c:pt>
                <c:pt idx="48">
                  <c:v>607856.1050498976</c:v>
                </c:pt>
                <c:pt idx="49">
                  <c:v>611458.5819361947</c:v>
                </c:pt>
              </c:numCache>
            </c:numRef>
          </c:val>
          <c:smooth val="0"/>
        </c:ser>
        <c:marker val="1"/>
        <c:axId val="61002995"/>
        <c:axId val="12156044"/>
      </c:lineChart>
      <c:catAx>
        <c:axId val="61002995"/>
        <c:scaling>
          <c:orientation val="minMax"/>
        </c:scaling>
        <c:axPos val="b"/>
        <c:title>
          <c:tx>
            <c:rich>
              <a:bodyPr vert="horz" rot="0" anchor="ctr"/>
              <a:lstStyle/>
              <a:p>
                <a:pPr algn="ctr">
                  <a:defRPr/>
                </a:pPr>
                <a:r>
                  <a:rPr lang="en-US" cap="none" sz="950" b="0" i="0" u="none" baseline="0">
                    <a:solidFill>
                      <a:srgbClr val="000000"/>
                    </a:solidFill>
                    <a:latin typeface="Arial"/>
                    <a:ea typeface="Arial"/>
                    <a:cs typeface="Arial"/>
                  </a:rPr>
                  <a:t>Jahre</a:t>
                </a:r>
              </a:p>
            </c:rich>
          </c:tx>
          <c:layout>
            <c:manualLayout>
              <c:xMode val="factor"/>
              <c:yMode val="factor"/>
              <c:x val="-0.009"/>
              <c:y val="0.001"/>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12156044"/>
        <c:crosses val="autoZero"/>
        <c:auto val="1"/>
        <c:lblOffset val="100"/>
        <c:tickLblSkip val="2"/>
        <c:noMultiLvlLbl val="0"/>
      </c:catAx>
      <c:valAx>
        <c:axId val="12156044"/>
        <c:scaling>
          <c:orientation val="minMax"/>
        </c:scaling>
        <c:axPos val="l"/>
        <c:title>
          <c:tx>
            <c:rich>
              <a:bodyPr vert="horz" rot="-5400000" anchor="ctr"/>
              <a:lstStyle/>
              <a:p>
                <a:pPr algn="ctr">
                  <a:defRPr/>
                </a:pPr>
                <a:r>
                  <a:rPr lang="en-US" cap="none" sz="950" b="0" i="0" u="none" baseline="0">
                    <a:solidFill>
                      <a:srgbClr val="000000"/>
                    </a:solidFill>
                    <a:latin typeface="Arial"/>
                    <a:ea typeface="Arial"/>
                    <a:cs typeface="Arial"/>
                  </a:rPr>
                  <a:t>Gesamtkosten .</a:t>
                </a:r>
              </a:p>
            </c:rich>
          </c:tx>
          <c:layout>
            <c:manualLayout>
              <c:xMode val="factor"/>
              <c:yMode val="factor"/>
              <c:x val="-0.03175"/>
              <c:y val="-0.000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61002995"/>
        <c:crossesAt val="1"/>
        <c:crossBetween val="between"/>
        <c:dispUnits/>
      </c:valAx>
      <c:spPr>
        <a:solidFill>
          <a:srgbClr val="C0C0C0"/>
        </a:solidFill>
        <a:ln w="12700">
          <a:solidFill>
            <a:srgbClr val="808080"/>
          </a:solidFill>
        </a:ln>
      </c:spPr>
    </c:plotArea>
    <c:legend>
      <c:legendPos val="t"/>
      <c:layout>
        <c:manualLayout>
          <c:xMode val="edge"/>
          <c:yMode val="edge"/>
          <c:x val="0.7675"/>
          <c:y val="0.019"/>
          <c:w val="0.18825"/>
          <c:h val="0.0927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21</xdr:row>
      <xdr:rowOff>9525</xdr:rowOff>
    </xdr:from>
    <xdr:to>
      <xdr:col>5</xdr:col>
      <xdr:colOff>619125</xdr:colOff>
      <xdr:row>27</xdr:row>
      <xdr:rowOff>76200</xdr:rowOff>
    </xdr:to>
    <xdr:pic>
      <xdr:nvPicPr>
        <xdr:cNvPr id="1" name="Picture 1" descr="C:\büro\schild\Schild\Schild-neu.gif"/>
        <xdr:cNvPicPr preferRelativeResize="1">
          <a:picLocks noChangeAspect="1"/>
        </xdr:cNvPicPr>
      </xdr:nvPicPr>
      <xdr:blipFill>
        <a:blip r:embed="rId1"/>
        <a:stretch>
          <a:fillRect/>
        </a:stretch>
      </xdr:blipFill>
      <xdr:spPr>
        <a:xfrm>
          <a:off x="1762125" y="8324850"/>
          <a:ext cx="206692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29</xdr:row>
      <xdr:rowOff>66675</xdr:rowOff>
    </xdr:from>
    <xdr:to>
      <xdr:col>21</xdr:col>
      <xdr:colOff>0</xdr:colOff>
      <xdr:row>41</xdr:row>
      <xdr:rowOff>104775</xdr:rowOff>
    </xdr:to>
    <xdr:graphicFrame>
      <xdr:nvGraphicFramePr>
        <xdr:cNvPr id="1" name="Diagramm 11"/>
        <xdr:cNvGraphicFramePr/>
      </xdr:nvGraphicFramePr>
      <xdr:xfrm>
        <a:off x="6496050" y="4629150"/>
        <a:ext cx="6172200" cy="3390900"/>
      </xdr:xfrm>
      <a:graphic>
        <a:graphicData uri="http://schemas.openxmlformats.org/drawingml/2006/chart">
          <c:chart xmlns:c="http://schemas.openxmlformats.org/drawingml/2006/chart" r:id="rId1"/>
        </a:graphicData>
      </a:graphic>
    </xdr:graphicFrame>
    <xdr:clientData/>
  </xdr:twoCellAnchor>
  <xdr:twoCellAnchor>
    <xdr:from>
      <xdr:col>13</xdr:col>
      <xdr:colOff>9525</xdr:colOff>
      <xdr:row>1</xdr:row>
      <xdr:rowOff>9525</xdr:rowOff>
    </xdr:from>
    <xdr:to>
      <xdr:col>21</xdr:col>
      <xdr:colOff>0</xdr:colOff>
      <xdr:row>29</xdr:row>
      <xdr:rowOff>0</xdr:rowOff>
    </xdr:to>
    <xdr:graphicFrame>
      <xdr:nvGraphicFramePr>
        <xdr:cNvPr id="2" name="Diagramm 10"/>
        <xdr:cNvGraphicFramePr/>
      </xdr:nvGraphicFramePr>
      <xdr:xfrm>
        <a:off x="6496050" y="47625"/>
        <a:ext cx="6172200" cy="451485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29</xdr:row>
      <xdr:rowOff>76200</xdr:rowOff>
    </xdr:from>
    <xdr:to>
      <xdr:col>8</xdr:col>
      <xdr:colOff>838200</xdr:colOff>
      <xdr:row>45</xdr:row>
      <xdr:rowOff>161925</xdr:rowOff>
    </xdr:to>
    <xdr:graphicFrame>
      <xdr:nvGraphicFramePr>
        <xdr:cNvPr id="3" name="Diagramm 12"/>
        <xdr:cNvGraphicFramePr/>
      </xdr:nvGraphicFramePr>
      <xdr:xfrm>
        <a:off x="295275" y="4638675"/>
        <a:ext cx="6105525" cy="40862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rchitekt-a.de/"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rchitekt-a.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rchitekt-a.de/" TargetMode="External" /><Relationship Id="rId2" Type="http://schemas.openxmlformats.org/officeDocument/2006/relationships/hyperlink" Target="http://www.architekt-a.de/" TargetMode="External" /><Relationship Id="rId3" Type="http://schemas.openxmlformats.org/officeDocument/2006/relationships/hyperlink" Target="http://www.architekt-a.de/" TargetMode="External" /><Relationship Id="rId4" Type="http://schemas.openxmlformats.org/officeDocument/2006/relationships/comments" Target="../comments4.xml" /><Relationship Id="rId5" Type="http://schemas.openxmlformats.org/officeDocument/2006/relationships/vmlDrawing" Target="../drawings/vmlDrawing2.v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U48"/>
  <sheetViews>
    <sheetView showGridLines="0" showRowColHeaders="0" tabSelected="1" zoomScaleSheetLayoutView="100" zoomScalePageLayoutView="0" workbookViewId="0" topLeftCell="A1">
      <selection activeCell="B5" sqref="B5:H5"/>
    </sheetView>
  </sheetViews>
  <sheetFormatPr defaultColWidth="11.421875" defaultRowHeight="12.75"/>
  <cols>
    <col min="1" max="1" width="2.421875" style="0" customWidth="1"/>
    <col min="9" max="9" width="2.421875" style="0" customWidth="1"/>
  </cols>
  <sheetData>
    <row r="1" spans="1:21" ht="12.75">
      <c r="A1" s="18"/>
      <c r="B1" s="18"/>
      <c r="C1" s="18"/>
      <c r="D1" s="18"/>
      <c r="E1" s="18"/>
      <c r="F1" s="18"/>
      <c r="G1" s="18"/>
      <c r="H1" s="18"/>
      <c r="I1" s="18"/>
      <c r="J1" s="18"/>
      <c r="K1" s="18"/>
      <c r="L1" s="18"/>
      <c r="M1" s="18"/>
      <c r="N1" s="18"/>
      <c r="O1" s="18"/>
      <c r="P1" s="18"/>
      <c r="Q1" s="18"/>
      <c r="R1" s="18"/>
      <c r="S1" s="18"/>
      <c r="T1" s="18"/>
      <c r="U1" s="18"/>
    </row>
    <row r="2" spans="1:21" ht="33.75" customHeight="1">
      <c r="A2" s="18"/>
      <c r="B2" s="448" t="s">
        <v>106</v>
      </c>
      <c r="C2" s="449"/>
      <c r="D2" s="449"/>
      <c r="E2" s="449"/>
      <c r="F2" s="449"/>
      <c r="G2" s="449"/>
      <c r="H2" s="450"/>
      <c r="I2" s="18"/>
      <c r="J2" s="18"/>
      <c r="K2" s="18"/>
      <c r="L2" s="18"/>
      <c r="M2" s="18"/>
      <c r="N2" s="18"/>
      <c r="O2" s="18"/>
      <c r="P2" s="18"/>
      <c r="Q2" s="18"/>
      <c r="R2" s="18"/>
      <c r="S2" s="18"/>
      <c r="T2" s="18"/>
      <c r="U2" s="18"/>
    </row>
    <row r="3" spans="1:21" ht="24" customHeight="1">
      <c r="A3" s="18"/>
      <c r="B3" s="18"/>
      <c r="C3" s="18"/>
      <c r="D3" s="18"/>
      <c r="E3" s="18"/>
      <c r="F3" s="18"/>
      <c r="G3" s="18"/>
      <c r="H3" s="18"/>
      <c r="I3" s="18"/>
      <c r="J3" s="18"/>
      <c r="K3" s="18"/>
      <c r="L3" s="18"/>
      <c r="M3" s="18"/>
      <c r="N3" s="18"/>
      <c r="O3" s="18"/>
      <c r="P3" s="18"/>
      <c r="Q3" s="18"/>
      <c r="R3" s="18"/>
      <c r="S3" s="18"/>
      <c r="T3" s="18"/>
      <c r="U3" s="18"/>
    </row>
    <row r="4" spans="1:21" ht="12.75">
      <c r="A4" s="18"/>
      <c r="B4" s="158" t="s">
        <v>88</v>
      </c>
      <c r="C4" s="18"/>
      <c r="D4" s="18"/>
      <c r="E4" s="18"/>
      <c r="F4" s="18"/>
      <c r="G4" s="18"/>
      <c r="H4" s="18"/>
      <c r="I4" s="18"/>
      <c r="J4" s="18"/>
      <c r="K4" s="18"/>
      <c r="L4" s="18"/>
      <c r="M4" s="18"/>
      <c r="N4" s="18"/>
      <c r="O4" s="18"/>
      <c r="P4" s="18"/>
      <c r="Q4" s="18"/>
      <c r="R4" s="18"/>
      <c r="S4" s="18"/>
      <c r="T4" s="18"/>
      <c r="U4" s="18"/>
    </row>
    <row r="5" spans="1:21" ht="112.5" customHeight="1">
      <c r="A5" s="18"/>
      <c r="B5" s="451" t="s">
        <v>259</v>
      </c>
      <c r="C5" s="452"/>
      <c r="D5" s="452"/>
      <c r="E5" s="452"/>
      <c r="F5" s="452"/>
      <c r="G5" s="452"/>
      <c r="H5" s="452"/>
      <c r="I5" s="18"/>
      <c r="J5" s="18"/>
      <c r="K5" s="18"/>
      <c r="L5" s="18"/>
      <c r="M5" s="18"/>
      <c r="N5" s="18"/>
      <c r="O5" s="18"/>
      <c r="P5" s="18"/>
      <c r="Q5" s="18"/>
      <c r="R5" s="18"/>
      <c r="S5" s="18"/>
      <c r="T5" s="18"/>
      <c r="U5" s="18"/>
    </row>
    <row r="6" spans="1:21" ht="12.75">
      <c r="A6" s="18"/>
      <c r="B6" s="158" t="s">
        <v>95</v>
      </c>
      <c r="C6" s="18"/>
      <c r="D6" s="18"/>
      <c r="E6" s="18"/>
      <c r="F6" s="18"/>
      <c r="G6" s="18"/>
      <c r="H6" s="18"/>
      <c r="I6" s="18"/>
      <c r="J6" s="18"/>
      <c r="K6" s="18"/>
      <c r="L6" s="18"/>
      <c r="M6" s="18"/>
      <c r="N6" s="18"/>
      <c r="O6" s="18"/>
      <c r="P6" s="18"/>
      <c r="Q6" s="18"/>
      <c r="R6" s="18"/>
      <c r="S6" s="18"/>
      <c r="T6" s="18"/>
      <c r="U6" s="18"/>
    </row>
    <row r="7" spans="1:21" ht="83.25" customHeight="1">
      <c r="A7" s="18"/>
      <c r="B7" s="451" t="s">
        <v>258</v>
      </c>
      <c r="C7" s="452"/>
      <c r="D7" s="452"/>
      <c r="E7" s="452"/>
      <c r="F7" s="452"/>
      <c r="G7" s="452"/>
      <c r="H7" s="452"/>
      <c r="I7" s="18"/>
      <c r="J7" s="18"/>
      <c r="K7" s="18"/>
      <c r="L7" s="18"/>
      <c r="M7" s="18"/>
      <c r="N7" s="18"/>
      <c r="O7" s="18"/>
      <c r="P7" s="18"/>
      <c r="Q7" s="18"/>
      <c r="R7" s="18"/>
      <c r="S7" s="18"/>
      <c r="T7" s="18"/>
      <c r="U7" s="18"/>
    </row>
    <row r="8" spans="1:21" ht="9" customHeight="1" thickBot="1">
      <c r="A8" s="18"/>
      <c r="B8" s="18"/>
      <c r="C8" s="18"/>
      <c r="D8" s="18"/>
      <c r="E8" s="18"/>
      <c r="F8" s="18"/>
      <c r="G8" s="18"/>
      <c r="H8" s="18"/>
      <c r="I8" s="18"/>
      <c r="J8" s="18"/>
      <c r="K8" s="18"/>
      <c r="L8" s="18"/>
      <c r="M8" s="18"/>
      <c r="N8" s="18"/>
      <c r="O8" s="18"/>
      <c r="P8" s="18"/>
      <c r="Q8" s="18"/>
      <c r="R8" s="18"/>
      <c r="S8" s="18"/>
      <c r="T8" s="18"/>
      <c r="U8" s="18"/>
    </row>
    <row r="9" spans="1:21" ht="13.5" thickBot="1">
      <c r="A9" s="18"/>
      <c r="B9" s="18"/>
      <c r="C9" s="18"/>
      <c r="D9" s="18"/>
      <c r="E9" s="159" t="s">
        <v>94</v>
      </c>
      <c r="F9" s="157"/>
      <c r="G9" s="18"/>
      <c r="H9" s="18"/>
      <c r="I9" s="18"/>
      <c r="J9" s="18"/>
      <c r="K9" s="18"/>
      <c r="L9" s="18"/>
      <c r="M9" s="18"/>
      <c r="N9" s="18"/>
      <c r="O9" s="18"/>
      <c r="P9" s="18"/>
      <c r="Q9" s="18"/>
      <c r="R9" s="18"/>
      <c r="S9" s="18"/>
      <c r="T9" s="18"/>
      <c r="U9" s="18"/>
    </row>
    <row r="10" spans="1:21" ht="12.75">
      <c r="A10" s="18"/>
      <c r="B10" s="18"/>
      <c r="C10" s="18"/>
      <c r="D10" s="18"/>
      <c r="E10" s="159"/>
      <c r="F10" s="18"/>
      <c r="G10" s="18"/>
      <c r="H10" s="18"/>
      <c r="I10" s="18"/>
      <c r="J10" s="18"/>
      <c r="K10" s="18"/>
      <c r="L10" s="18"/>
      <c r="M10" s="18"/>
      <c r="N10" s="18"/>
      <c r="O10" s="18"/>
      <c r="P10" s="18"/>
      <c r="Q10" s="18"/>
      <c r="R10" s="18"/>
      <c r="S10" s="18"/>
      <c r="T10" s="18"/>
      <c r="U10" s="18"/>
    </row>
    <row r="11" spans="1:21" ht="12.75">
      <c r="A11" s="18"/>
      <c r="B11" s="158" t="s">
        <v>252</v>
      </c>
      <c r="C11" s="18"/>
      <c r="D11" s="18"/>
      <c r="E11" s="159"/>
      <c r="F11" s="18"/>
      <c r="G11" s="18"/>
      <c r="H11" s="18"/>
      <c r="I11" s="18"/>
      <c r="J11" s="18"/>
      <c r="K11" s="18"/>
      <c r="L11" s="18"/>
      <c r="M11" s="18"/>
      <c r="N11" s="18"/>
      <c r="O11" s="18"/>
      <c r="P11" s="18"/>
      <c r="Q11" s="18"/>
      <c r="R11" s="18"/>
      <c r="S11" s="18"/>
      <c r="T11" s="18"/>
      <c r="U11" s="18"/>
    </row>
    <row r="12" spans="1:21" ht="59.25" customHeight="1">
      <c r="A12" s="18"/>
      <c r="B12" s="451" t="s">
        <v>253</v>
      </c>
      <c r="C12" s="452"/>
      <c r="D12" s="452"/>
      <c r="E12" s="452"/>
      <c r="F12" s="452"/>
      <c r="G12" s="452"/>
      <c r="H12" s="452"/>
      <c r="I12" s="18"/>
      <c r="J12" s="18"/>
      <c r="K12" s="18"/>
      <c r="L12" s="18"/>
      <c r="M12" s="18"/>
      <c r="N12" s="18"/>
      <c r="O12" s="18"/>
      <c r="P12" s="18"/>
      <c r="Q12" s="18"/>
      <c r="R12" s="18"/>
      <c r="S12" s="18"/>
      <c r="T12" s="18"/>
      <c r="U12" s="18"/>
    </row>
    <row r="13" spans="1:21" ht="12.75">
      <c r="A13" s="18"/>
      <c r="B13" s="158" t="s">
        <v>89</v>
      </c>
      <c r="C13" s="18"/>
      <c r="D13" s="18"/>
      <c r="E13" s="18"/>
      <c r="F13" s="18"/>
      <c r="G13" s="18"/>
      <c r="H13" s="18"/>
      <c r="I13" s="18"/>
      <c r="J13" s="18"/>
      <c r="K13" s="18"/>
      <c r="L13" s="18"/>
      <c r="M13" s="18"/>
      <c r="N13" s="18"/>
      <c r="O13" s="18"/>
      <c r="P13" s="18"/>
      <c r="Q13" s="18"/>
      <c r="R13" s="18"/>
      <c r="S13" s="18"/>
      <c r="T13" s="18"/>
      <c r="U13" s="18"/>
    </row>
    <row r="14" spans="1:21" ht="39.75" customHeight="1">
      <c r="A14" s="18"/>
      <c r="B14" s="452" t="s">
        <v>90</v>
      </c>
      <c r="C14" s="452"/>
      <c r="D14" s="452"/>
      <c r="E14" s="452"/>
      <c r="F14" s="452"/>
      <c r="G14" s="452"/>
      <c r="H14" s="452"/>
      <c r="I14" s="18"/>
      <c r="J14" s="18"/>
      <c r="K14" s="18"/>
      <c r="L14" s="18"/>
      <c r="M14" s="18"/>
      <c r="N14" s="18"/>
      <c r="O14" s="18"/>
      <c r="P14" s="18"/>
      <c r="Q14" s="18"/>
      <c r="R14" s="18"/>
      <c r="S14" s="18"/>
      <c r="T14" s="18"/>
      <c r="U14" s="18"/>
    </row>
    <row r="15" spans="1:21" ht="39.75" customHeight="1">
      <c r="A15" s="18"/>
      <c r="B15" s="452" t="s">
        <v>7</v>
      </c>
      <c r="C15" s="452"/>
      <c r="D15" s="452"/>
      <c r="E15" s="452"/>
      <c r="F15" s="452"/>
      <c r="G15" s="452"/>
      <c r="H15" s="452"/>
      <c r="I15" s="18"/>
      <c r="J15" s="18"/>
      <c r="K15" s="18"/>
      <c r="L15" s="18"/>
      <c r="M15" s="18"/>
      <c r="N15" s="18"/>
      <c r="O15" s="18"/>
      <c r="P15" s="18"/>
      <c r="Q15" s="18"/>
      <c r="R15" s="18"/>
      <c r="S15" s="18"/>
      <c r="T15" s="18"/>
      <c r="U15" s="18"/>
    </row>
    <row r="16" spans="1:21" ht="39.75" customHeight="1">
      <c r="A16" s="18"/>
      <c r="B16" s="452" t="s">
        <v>91</v>
      </c>
      <c r="C16" s="452"/>
      <c r="D16" s="452"/>
      <c r="E16" s="452"/>
      <c r="F16" s="452"/>
      <c r="G16" s="452"/>
      <c r="H16" s="452"/>
      <c r="I16" s="18"/>
      <c r="J16" s="18"/>
      <c r="K16" s="18"/>
      <c r="L16" s="18"/>
      <c r="M16" s="18"/>
      <c r="N16" s="18"/>
      <c r="O16" s="18"/>
      <c r="P16" s="18"/>
      <c r="Q16" s="18"/>
      <c r="R16" s="18"/>
      <c r="S16" s="18"/>
      <c r="T16" s="18"/>
      <c r="U16" s="18"/>
    </row>
    <row r="17" spans="1:21" ht="39.75" customHeight="1">
      <c r="A17" s="18"/>
      <c r="B17" s="452" t="s">
        <v>113</v>
      </c>
      <c r="C17" s="452"/>
      <c r="D17" s="452"/>
      <c r="E17" s="452"/>
      <c r="F17" s="452"/>
      <c r="G17" s="452"/>
      <c r="H17" s="452"/>
      <c r="I17" s="18"/>
      <c r="J17" s="18"/>
      <c r="K17" s="18"/>
      <c r="L17" s="18"/>
      <c r="M17" s="18"/>
      <c r="N17" s="18"/>
      <c r="O17" s="18"/>
      <c r="P17" s="18"/>
      <c r="Q17" s="18"/>
      <c r="R17" s="18"/>
      <c r="S17" s="18"/>
      <c r="T17" s="18"/>
      <c r="U17" s="18"/>
    </row>
    <row r="18" spans="1:21" ht="22.5" customHeight="1">
      <c r="A18" s="18"/>
      <c r="B18" s="452" t="s">
        <v>8</v>
      </c>
      <c r="C18" s="452"/>
      <c r="D18" s="452"/>
      <c r="E18" s="452"/>
      <c r="F18" s="452"/>
      <c r="G18" s="452"/>
      <c r="H18" s="452"/>
      <c r="I18" s="18"/>
      <c r="J18" s="18"/>
      <c r="K18" s="18"/>
      <c r="L18" s="18"/>
      <c r="M18" s="18"/>
      <c r="N18" s="18"/>
      <c r="O18" s="18"/>
      <c r="P18" s="18"/>
      <c r="Q18" s="18"/>
      <c r="R18" s="18"/>
      <c r="S18" s="18"/>
      <c r="T18" s="18"/>
      <c r="U18" s="18"/>
    </row>
    <row r="19" spans="1:21" ht="12.75">
      <c r="A19" s="18"/>
      <c r="B19" s="158" t="s">
        <v>92</v>
      </c>
      <c r="C19" s="18"/>
      <c r="D19" s="18"/>
      <c r="E19" s="18"/>
      <c r="F19" s="18"/>
      <c r="G19" s="18"/>
      <c r="H19" s="18"/>
      <c r="I19" s="18"/>
      <c r="J19" s="18"/>
      <c r="K19" s="18"/>
      <c r="L19" s="18"/>
      <c r="M19" s="18"/>
      <c r="N19" s="18"/>
      <c r="O19" s="18"/>
      <c r="P19" s="18"/>
      <c r="Q19" s="18"/>
      <c r="R19" s="18"/>
      <c r="S19" s="18"/>
      <c r="T19" s="18"/>
      <c r="U19" s="18"/>
    </row>
    <row r="20" spans="1:21" ht="39.75" customHeight="1">
      <c r="A20" s="18"/>
      <c r="B20" s="451" t="s">
        <v>254</v>
      </c>
      <c r="C20" s="452"/>
      <c r="D20" s="452"/>
      <c r="E20" s="452"/>
      <c r="F20" s="452"/>
      <c r="G20" s="452"/>
      <c r="H20" s="452"/>
      <c r="I20" s="18"/>
      <c r="J20" s="18"/>
      <c r="K20" s="18"/>
      <c r="L20" s="18"/>
      <c r="M20" s="18"/>
      <c r="N20" s="18"/>
      <c r="O20" s="18"/>
      <c r="P20" s="18"/>
      <c r="Q20" s="18"/>
      <c r="R20" s="18"/>
      <c r="S20" s="18"/>
      <c r="T20" s="18"/>
      <c r="U20" s="18"/>
    </row>
    <row r="21" spans="1:21" ht="9" customHeight="1">
      <c r="A21" s="18"/>
      <c r="B21" s="18"/>
      <c r="C21" s="18"/>
      <c r="D21" s="18"/>
      <c r="E21" s="18"/>
      <c r="F21" s="18"/>
      <c r="G21" s="18"/>
      <c r="H21" s="18"/>
      <c r="I21" s="18"/>
      <c r="J21" s="18"/>
      <c r="K21" s="18"/>
      <c r="L21" s="18"/>
      <c r="M21" s="18"/>
      <c r="N21" s="18"/>
      <c r="O21" s="18"/>
      <c r="P21" s="18"/>
      <c r="Q21" s="18"/>
      <c r="R21" s="18"/>
      <c r="S21" s="18"/>
      <c r="T21" s="18"/>
      <c r="U21" s="18"/>
    </row>
    <row r="22" spans="1:21" ht="12.75">
      <c r="A22" s="18"/>
      <c r="B22" s="158" t="s">
        <v>93</v>
      </c>
      <c r="C22" s="18"/>
      <c r="D22" s="18"/>
      <c r="E22" s="18"/>
      <c r="F22" s="18"/>
      <c r="G22" s="18"/>
      <c r="H22" s="18"/>
      <c r="I22" s="18"/>
      <c r="J22" s="18"/>
      <c r="K22" s="18"/>
      <c r="L22" s="18"/>
      <c r="M22" s="18"/>
      <c r="N22" s="18"/>
      <c r="O22" s="18"/>
      <c r="P22" s="18"/>
      <c r="Q22" s="18"/>
      <c r="R22" s="18"/>
      <c r="S22" s="18"/>
      <c r="T22" s="18"/>
      <c r="U22" s="18"/>
    </row>
    <row r="23" spans="1:21" ht="12.75">
      <c r="A23" s="18"/>
      <c r="B23" s="18"/>
      <c r="C23" s="18"/>
      <c r="D23" s="18"/>
      <c r="E23" s="18"/>
      <c r="F23" s="18"/>
      <c r="G23" s="18"/>
      <c r="H23" s="18"/>
      <c r="I23" s="18"/>
      <c r="J23" s="18"/>
      <c r="K23" s="18"/>
      <c r="L23" s="18"/>
      <c r="M23" s="18"/>
      <c r="N23" s="18"/>
      <c r="O23" s="18"/>
      <c r="P23" s="18"/>
      <c r="Q23" s="18"/>
      <c r="R23" s="18"/>
      <c r="S23" s="18"/>
      <c r="T23" s="18"/>
      <c r="U23" s="18"/>
    </row>
    <row r="24" spans="1:21" ht="12.75">
      <c r="A24" s="18"/>
      <c r="B24" s="18"/>
      <c r="C24" s="18"/>
      <c r="D24" s="18"/>
      <c r="E24" s="18"/>
      <c r="F24" s="18"/>
      <c r="G24" s="18"/>
      <c r="H24" s="18"/>
      <c r="I24" s="18"/>
      <c r="J24" s="18"/>
      <c r="K24" s="18"/>
      <c r="L24" s="18"/>
      <c r="M24" s="18"/>
      <c r="N24" s="18"/>
      <c r="O24" s="18"/>
      <c r="P24" s="18"/>
      <c r="Q24" s="18"/>
      <c r="R24" s="18"/>
      <c r="S24" s="18"/>
      <c r="T24" s="18"/>
      <c r="U24" s="18"/>
    </row>
    <row r="25" spans="1:21" ht="12.75">
      <c r="A25" s="18"/>
      <c r="B25" s="18"/>
      <c r="C25" s="18"/>
      <c r="D25" s="18"/>
      <c r="E25" s="18"/>
      <c r="F25" s="18"/>
      <c r="G25" s="18"/>
      <c r="H25" s="18"/>
      <c r="I25" s="18"/>
      <c r="J25" s="18"/>
      <c r="K25" s="18"/>
      <c r="L25" s="18"/>
      <c r="M25" s="18"/>
      <c r="N25" s="18"/>
      <c r="O25" s="18"/>
      <c r="P25" s="18"/>
      <c r="Q25" s="18"/>
      <c r="R25" s="18"/>
      <c r="S25" s="18"/>
      <c r="T25" s="18"/>
      <c r="U25" s="18"/>
    </row>
    <row r="26" spans="1:21" ht="12.75">
      <c r="A26" s="18"/>
      <c r="B26" s="18"/>
      <c r="C26" s="18"/>
      <c r="D26" s="18"/>
      <c r="E26" s="18"/>
      <c r="F26" s="18"/>
      <c r="G26" s="18"/>
      <c r="H26" s="18"/>
      <c r="I26" s="18"/>
      <c r="J26" s="18"/>
      <c r="K26" s="18"/>
      <c r="L26" s="18"/>
      <c r="M26" s="18"/>
      <c r="N26" s="18"/>
      <c r="O26" s="18"/>
      <c r="P26" s="18"/>
      <c r="Q26" s="18"/>
      <c r="R26" s="18"/>
      <c r="S26" s="18"/>
      <c r="T26" s="18"/>
      <c r="U26" s="18"/>
    </row>
    <row r="27" spans="1:21" ht="12.75">
      <c r="A27" s="18"/>
      <c r="B27" s="18"/>
      <c r="C27" s="18"/>
      <c r="D27" s="18"/>
      <c r="E27" s="18"/>
      <c r="F27" s="18"/>
      <c r="G27" s="18"/>
      <c r="H27" s="18"/>
      <c r="I27" s="18"/>
      <c r="J27" s="18"/>
      <c r="K27" s="18"/>
      <c r="L27" s="18"/>
      <c r="M27" s="18"/>
      <c r="N27" s="18"/>
      <c r="O27" s="18"/>
      <c r="P27" s="18"/>
      <c r="Q27" s="18"/>
      <c r="R27" s="18"/>
      <c r="S27" s="18"/>
      <c r="T27" s="18"/>
      <c r="U27" s="18"/>
    </row>
    <row r="28" spans="1:21" ht="12.75">
      <c r="A28" s="18"/>
      <c r="B28" s="18"/>
      <c r="C28" s="18"/>
      <c r="D28" s="18"/>
      <c r="E28" s="18"/>
      <c r="F28" s="18"/>
      <c r="G28" s="18"/>
      <c r="H28" s="18"/>
      <c r="I28" s="18"/>
      <c r="J28" s="18"/>
      <c r="K28" s="18"/>
      <c r="L28" s="18"/>
      <c r="M28" s="18"/>
      <c r="N28" s="18"/>
      <c r="O28" s="18"/>
      <c r="P28" s="18"/>
      <c r="Q28" s="18"/>
      <c r="R28" s="18"/>
      <c r="S28" s="18"/>
      <c r="T28" s="18"/>
      <c r="U28" s="18"/>
    </row>
    <row r="29" spans="1:21" ht="12.75">
      <c r="A29" s="18"/>
      <c r="B29" s="18"/>
      <c r="C29" s="18"/>
      <c r="D29" s="18"/>
      <c r="E29" s="18"/>
      <c r="F29" s="18"/>
      <c r="G29" s="18"/>
      <c r="H29" s="18"/>
      <c r="I29" s="18"/>
      <c r="J29" s="18"/>
      <c r="K29" s="18"/>
      <c r="L29" s="18"/>
      <c r="M29" s="18"/>
      <c r="N29" s="18"/>
      <c r="O29" s="18"/>
      <c r="P29" s="18"/>
      <c r="Q29" s="18"/>
      <c r="R29" s="18"/>
      <c r="S29" s="18"/>
      <c r="T29" s="18"/>
      <c r="U29" s="18"/>
    </row>
    <row r="30" spans="1:21" ht="12.75">
      <c r="A30" s="18"/>
      <c r="B30" s="18"/>
      <c r="C30" s="18"/>
      <c r="D30" s="18"/>
      <c r="E30" s="18"/>
      <c r="F30" s="18"/>
      <c r="G30" s="18"/>
      <c r="H30" s="18"/>
      <c r="I30" s="18"/>
      <c r="J30" s="18"/>
      <c r="K30" s="18"/>
      <c r="L30" s="18"/>
      <c r="M30" s="18"/>
      <c r="N30" s="18"/>
      <c r="O30" s="18"/>
      <c r="P30" s="18"/>
      <c r="Q30" s="18"/>
      <c r="R30" s="18"/>
      <c r="S30" s="18"/>
      <c r="T30" s="18"/>
      <c r="U30" s="18"/>
    </row>
    <row r="31" spans="1:21" ht="12.75">
      <c r="A31" s="18"/>
      <c r="B31" s="18"/>
      <c r="C31" s="18"/>
      <c r="D31" s="18"/>
      <c r="E31" s="18"/>
      <c r="F31" s="18"/>
      <c r="G31" s="18"/>
      <c r="H31" s="18"/>
      <c r="I31" s="18"/>
      <c r="J31" s="18"/>
      <c r="K31" s="18"/>
      <c r="L31" s="18"/>
      <c r="M31" s="18"/>
      <c r="N31" s="18"/>
      <c r="O31" s="18"/>
      <c r="P31" s="18"/>
      <c r="Q31" s="18"/>
      <c r="R31" s="18"/>
      <c r="S31" s="18"/>
      <c r="T31" s="18"/>
      <c r="U31" s="18"/>
    </row>
    <row r="32" spans="1:21" ht="12.75">
      <c r="A32" s="18"/>
      <c r="B32" s="18"/>
      <c r="C32" s="18"/>
      <c r="D32" s="18"/>
      <c r="E32" s="18"/>
      <c r="F32" s="18"/>
      <c r="G32" s="18"/>
      <c r="H32" s="18"/>
      <c r="I32" s="18"/>
      <c r="J32" s="18"/>
      <c r="K32" s="18"/>
      <c r="L32" s="18"/>
      <c r="M32" s="18"/>
      <c r="N32" s="18"/>
      <c r="O32" s="18"/>
      <c r="P32" s="18"/>
      <c r="Q32" s="18"/>
      <c r="R32" s="18"/>
      <c r="S32" s="18"/>
      <c r="T32" s="18"/>
      <c r="U32" s="18"/>
    </row>
    <row r="33" spans="1:21" ht="12.75">
      <c r="A33" s="18"/>
      <c r="B33" s="18"/>
      <c r="C33" s="18"/>
      <c r="D33" s="18"/>
      <c r="E33" s="18"/>
      <c r="F33" s="18"/>
      <c r="G33" s="18"/>
      <c r="H33" s="18"/>
      <c r="I33" s="18"/>
      <c r="J33" s="18"/>
      <c r="K33" s="18"/>
      <c r="L33" s="18"/>
      <c r="M33" s="18"/>
      <c r="N33" s="18"/>
      <c r="O33" s="18"/>
      <c r="P33" s="18"/>
      <c r="Q33" s="18"/>
      <c r="R33" s="18"/>
      <c r="S33" s="18"/>
      <c r="T33" s="18"/>
      <c r="U33" s="18"/>
    </row>
    <row r="34" spans="1:21" ht="12.75">
      <c r="A34" s="18"/>
      <c r="B34" s="18"/>
      <c r="C34" s="18"/>
      <c r="D34" s="18"/>
      <c r="E34" s="18"/>
      <c r="F34" s="18"/>
      <c r="G34" s="18"/>
      <c r="H34" s="18"/>
      <c r="I34" s="18"/>
      <c r="J34" s="18"/>
      <c r="K34" s="18"/>
      <c r="L34" s="18"/>
      <c r="M34" s="18"/>
      <c r="N34" s="18"/>
      <c r="O34" s="18"/>
      <c r="P34" s="18"/>
      <c r="Q34" s="18"/>
      <c r="R34" s="18"/>
      <c r="S34" s="18"/>
      <c r="T34" s="18"/>
      <c r="U34" s="18"/>
    </row>
    <row r="35" spans="1:21" ht="12.75">
      <c r="A35" s="18"/>
      <c r="B35" s="18"/>
      <c r="C35" s="18"/>
      <c r="D35" s="18"/>
      <c r="E35" s="18"/>
      <c r="F35" s="18"/>
      <c r="G35" s="18"/>
      <c r="H35" s="18"/>
      <c r="I35" s="18"/>
      <c r="J35" s="18"/>
      <c r="K35" s="18"/>
      <c r="L35" s="18"/>
      <c r="M35" s="18"/>
      <c r="N35" s="18"/>
      <c r="O35" s="18"/>
      <c r="P35" s="18"/>
      <c r="Q35" s="18"/>
      <c r="R35" s="18"/>
      <c r="S35" s="18"/>
      <c r="T35" s="18"/>
      <c r="U35" s="18"/>
    </row>
    <row r="36" spans="1:21" ht="12.75">
      <c r="A36" s="18"/>
      <c r="B36" s="18"/>
      <c r="C36" s="18"/>
      <c r="D36" s="18"/>
      <c r="E36" s="18"/>
      <c r="F36" s="18"/>
      <c r="G36" s="18"/>
      <c r="H36" s="18"/>
      <c r="I36" s="18"/>
      <c r="J36" s="18"/>
      <c r="K36" s="18"/>
      <c r="L36" s="18"/>
      <c r="M36" s="18"/>
      <c r="N36" s="18"/>
      <c r="O36" s="18"/>
      <c r="P36" s="18"/>
      <c r="Q36" s="18"/>
      <c r="R36" s="18"/>
      <c r="S36" s="18"/>
      <c r="T36" s="18"/>
      <c r="U36" s="18"/>
    </row>
    <row r="37" spans="1:21" ht="12.75">
      <c r="A37" s="18"/>
      <c r="B37" s="18"/>
      <c r="C37" s="18"/>
      <c r="D37" s="18"/>
      <c r="E37" s="18"/>
      <c r="F37" s="18"/>
      <c r="G37" s="18"/>
      <c r="H37" s="18"/>
      <c r="I37" s="18"/>
      <c r="J37" s="18"/>
      <c r="K37" s="18"/>
      <c r="L37" s="18"/>
      <c r="M37" s="18"/>
      <c r="N37" s="18"/>
      <c r="O37" s="18"/>
      <c r="P37" s="18"/>
      <c r="Q37" s="18"/>
      <c r="R37" s="18"/>
      <c r="S37" s="18"/>
      <c r="T37" s="18"/>
      <c r="U37" s="18"/>
    </row>
    <row r="38" spans="1:21" ht="12.75">
      <c r="A38" s="18"/>
      <c r="B38" s="18"/>
      <c r="C38" s="18"/>
      <c r="D38" s="18"/>
      <c r="E38" s="18"/>
      <c r="F38" s="18"/>
      <c r="G38" s="18"/>
      <c r="H38" s="18"/>
      <c r="I38" s="18"/>
      <c r="J38" s="18"/>
      <c r="K38" s="18"/>
      <c r="L38" s="18"/>
      <c r="M38" s="18"/>
      <c r="N38" s="18"/>
      <c r="O38" s="18"/>
      <c r="P38" s="18"/>
      <c r="Q38" s="18"/>
      <c r="R38" s="18"/>
      <c r="S38" s="18"/>
      <c r="T38" s="18"/>
      <c r="U38" s="18"/>
    </row>
    <row r="39" spans="1:21" ht="12.75">
      <c r="A39" s="18"/>
      <c r="B39" s="18"/>
      <c r="C39" s="18"/>
      <c r="D39" s="18"/>
      <c r="E39" s="18"/>
      <c r="F39" s="18"/>
      <c r="G39" s="18"/>
      <c r="H39" s="18"/>
      <c r="I39" s="18"/>
      <c r="J39" s="18"/>
      <c r="K39" s="18"/>
      <c r="L39" s="18"/>
      <c r="M39" s="18"/>
      <c r="N39" s="18"/>
      <c r="O39" s="18"/>
      <c r="P39" s="18"/>
      <c r="Q39" s="18"/>
      <c r="R39" s="18"/>
      <c r="S39" s="18"/>
      <c r="T39" s="18"/>
      <c r="U39" s="18"/>
    </row>
    <row r="40" spans="1:21" ht="12.75">
      <c r="A40" s="18"/>
      <c r="B40" s="18"/>
      <c r="C40" s="18"/>
      <c r="D40" s="18"/>
      <c r="E40" s="18"/>
      <c r="F40" s="18"/>
      <c r="G40" s="18"/>
      <c r="H40" s="18"/>
      <c r="I40" s="18"/>
      <c r="J40" s="18"/>
      <c r="K40" s="18"/>
      <c r="L40" s="18"/>
      <c r="M40" s="18"/>
      <c r="N40" s="18"/>
      <c r="O40" s="18"/>
      <c r="P40" s="18"/>
      <c r="Q40" s="18"/>
      <c r="R40" s="18"/>
      <c r="S40" s="18"/>
      <c r="T40" s="18"/>
      <c r="U40" s="18"/>
    </row>
    <row r="41" spans="1:21" ht="12.75">
      <c r="A41" s="18"/>
      <c r="B41" s="18"/>
      <c r="C41" s="18"/>
      <c r="D41" s="18"/>
      <c r="E41" s="18"/>
      <c r="F41" s="18"/>
      <c r="G41" s="18"/>
      <c r="H41" s="18"/>
      <c r="I41" s="18"/>
      <c r="J41" s="18"/>
      <c r="K41" s="18"/>
      <c r="L41" s="18"/>
      <c r="M41" s="18"/>
      <c r="N41" s="18"/>
      <c r="O41" s="18"/>
      <c r="P41" s="18"/>
      <c r="Q41" s="18"/>
      <c r="R41" s="18"/>
      <c r="S41" s="18"/>
      <c r="T41" s="18"/>
      <c r="U41" s="18"/>
    </row>
    <row r="42" spans="1:21" ht="12.75">
      <c r="A42" s="18"/>
      <c r="B42" s="18"/>
      <c r="C42" s="18"/>
      <c r="D42" s="18"/>
      <c r="E42" s="18"/>
      <c r="F42" s="18"/>
      <c r="G42" s="18"/>
      <c r="H42" s="18"/>
      <c r="I42" s="18"/>
      <c r="J42" s="18"/>
      <c r="K42" s="18"/>
      <c r="L42" s="18"/>
      <c r="M42" s="18"/>
      <c r="N42" s="18"/>
      <c r="O42" s="18"/>
      <c r="P42" s="18"/>
      <c r="Q42" s="18"/>
      <c r="R42" s="18"/>
      <c r="S42" s="18"/>
      <c r="T42" s="18"/>
      <c r="U42" s="18"/>
    </row>
    <row r="43" spans="1:21" ht="12.75">
      <c r="A43" s="18"/>
      <c r="B43" s="18"/>
      <c r="C43" s="18"/>
      <c r="D43" s="18"/>
      <c r="E43" s="18"/>
      <c r="F43" s="18"/>
      <c r="G43" s="18"/>
      <c r="H43" s="18"/>
      <c r="I43" s="18"/>
      <c r="J43" s="18"/>
      <c r="K43" s="18"/>
      <c r="L43" s="18"/>
      <c r="M43" s="18"/>
      <c r="N43" s="18"/>
      <c r="O43" s="18"/>
      <c r="P43" s="18"/>
      <c r="Q43" s="18"/>
      <c r="R43" s="18"/>
      <c r="S43" s="18"/>
      <c r="T43" s="18"/>
      <c r="U43" s="18"/>
    </row>
    <row r="44" spans="1:21" ht="12.75">
      <c r="A44" s="18"/>
      <c r="B44" s="18"/>
      <c r="C44" s="18"/>
      <c r="D44" s="18"/>
      <c r="E44" s="18"/>
      <c r="F44" s="18"/>
      <c r="G44" s="18"/>
      <c r="H44" s="18"/>
      <c r="I44" s="18"/>
      <c r="J44" s="18"/>
      <c r="K44" s="18"/>
      <c r="L44" s="18"/>
      <c r="M44" s="18"/>
      <c r="N44" s="18"/>
      <c r="O44" s="18"/>
      <c r="P44" s="18"/>
      <c r="Q44" s="18"/>
      <c r="R44" s="18"/>
      <c r="S44" s="18"/>
      <c r="T44" s="18"/>
      <c r="U44" s="18"/>
    </row>
    <row r="45" spans="1:21" ht="12.75">
      <c r="A45" s="18"/>
      <c r="B45" s="18"/>
      <c r="C45" s="18"/>
      <c r="D45" s="18"/>
      <c r="E45" s="18"/>
      <c r="F45" s="18"/>
      <c r="G45" s="18"/>
      <c r="H45" s="18"/>
      <c r="I45" s="18"/>
      <c r="J45" s="18"/>
      <c r="K45" s="18"/>
      <c r="L45" s="18"/>
      <c r="M45" s="18"/>
      <c r="N45" s="18"/>
      <c r="O45" s="18"/>
      <c r="P45" s="18"/>
      <c r="Q45" s="18"/>
      <c r="R45" s="18"/>
      <c r="S45" s="18"/>
      <c r="T45" s="18"/>
      <c r="U45" s="18"/>
    </row>
    <row r="46" spans="1:21" ht="12.75">
      <c r="A46" s="18"/>
      <c r="B46" s="18"/>
      <c r="C46" s="18"/>
      <c r="D46" s="18"/>
      <c r="E46" s="18"/>
      <c r="F46" s="18"/>
      <c r="G46" s="18"/>
      <c r="H46" s="18"/>
      <c r="I46" s="18"/>
      <c r="J46" s="18"/>
      <c r="K46" s="18"/>
      <c r="L46" s="18"/>
      <c r="M46" s="18"/>
      <c r="N46" s="18"/>
      <c r="O46" s="18"/>
      <c r="P46" s="18"/>
      <c r="Q46" s="18"/>
      <c r="R46" s="18"/>
      <c r="S46" s="18"/>
      <c r="T46" s="18"/>
      <c r="U46" s="18"/>
    </row>
    <row r="47" spans="1:21" ht="12.75">
      <c r="A47" s="18"/>
      <c r="B47" s="18"/>
      <c r="C47" s="18"/>
      <c r="D47" s="18"/>
      <c r="E47" s="18"/>
      <c r="F47" s="18"/>
      <c r="G47" s="18"/>
      <c r="H47" s="18"/>
      <c r="I47" s="18"/>
      <c r="J47" s="18"/>
      <c r="K47" s="18"/>
      <c r="L47" s="18"/>
      <c r="M47" s="18"/>
      <c r="N47" s="18"/>
      <c r="O47" s="18"/>
      <c r="P47" s="18"/>
      <c r="Q47" s="18"/>
      <c r="R47" s="18"/>
      <c r="S47" s="18"/>
      <c r="T47" s="18"/>
      <c r="U47" s="18"/>
    </row>
    <row r="48" spans="1:21" ht="12.75">
      <c r="A48" s="18"/>
      <c r="B48" s="18"/>
      <c r="C48" s="18"/>
      <c r="D48" s="18"/>
      <c r="E48" s="18"/>
      <c r="F48" s="18"/>
      <c r="G48" s="18"/>
      <c r="H48" s="18"/>
      <c r="I48" s="18"/>
      <c r="J48" s="18"/>
      <c r="K48" s="18"/>
      <c r="L48" s="18"/>
      <c r="M48" s="18"/>
      <c r="N48" s="18"/>
      <c r="O48" s="18"/>
      <c r="P48" s="18"/>
      <c r="Q48" s="18"/>
      <c r="R48" s="18"/>
      <c r="S48" s="18"/>
      <c r="T48" s="18"/>
      <c r="U48" s="18"/>
    </row>
  </sheetData>
  <sheetProtection sheet="1" objects="1" scenarios="1" selectLockedCells="1" selectUnlockedCells="1"/>
  <mergeCells count="10">
    <mergeCell ref="B17:H17"/>
    <mergeCell ref="B20:H20"/>
    <mergeCell ref="B18:H18"/>
    <mergeCell ref="B12:H12"/>
    <mergeCell ref="B2:H2"/>
    <mergeCell ref="B5:H5"/>
    <mergeCell ref="B14:H14"/>
    <mergeCell ref="B7:H7"/>
    <mergeCell ref="B15:H15"/>
    <mergeCell ref="B16:H16"/>
  </mergeCells>
  <printOptions/>
  <pageMargins left="0.9" right="0.76" top="0.5" bottom="0.71" header="0.4921259845" footer="0.4921259845"/>
  <pageSetup horizontalDpi="600" verticalDpi="600" orientation="portrait" paperSize="9" r:id="rId2"/>
  <headerFooter alignWithMargins="0">
    <oddFooter>&amp;RKostenvergleich . &amp;A . &amp;D</oddFooter>
  </headerFooter>
  <drawing r:id="rId1"/>
</worksheet>
</file>

<file path=xl/worksheets/sheet2.xml><?xml version="1.0" encoding="utf-8"?>
<worksheet xmlns="http://schemas.openxmlformats.org/spreadsheetml/2006/main" xmlns:r="http://schemas.openxmlformats.org/officeDocument/2006/relationships">
  <dimension ref="A1:IV362"/>
  <sheetViews>
    <sheetView showGridLines="0" showRowColHeaders="0" zoomScaleSheetLayoutView="85" zoomScalePageLayoutView="85" workbookViewId="0" topLeftCell="A1">
      <selection activeCell="I8" sqref="I8"/>
    </sheetView>
  </sheetViews>
  <sheetFormatPr defaultColWidth="0" defaultRowHeight="12.75"/>
  <cols>
    <col min="1" max="1" width="4.421875" style="25" customWidth="1"/>
    <col min="2" max="2" width="28.00390625" style="25" customWidth="1"/>
    <col min="3" max="3" width="0.42578125" style="25" customWidth="1"/>
    <col min="4" max="4" width="12.7109375" style="25" customWidth="1"/>
    <col min="5" max="5" width="11.140625" style="25" customWidth="1"/>
    <col min="6" max="6" width="1.7109375" style="25" customWidth="1"/>
    <col min="7" max="7" width="10.7109375" style="25" customWidth="1"/>
    <col min="8" max="8" width="14.28125" style="25" customWidth="1"/>
    <col min="9" max="9" width="12.7109375" style="25" customWidth="1"/>
    <col min="10" max="10" width="1.1484375" style="25" customWidth="1"/>
    <col min="11" max="13" width="11.421875" style="29" hidden="1" customWidth="1"/>
    <col min="14" max="14" width="11.421875" style="29" customWidth="1"/>
    <col min="15" max="16" width="11.421875" style="160" customWidth="1"/>
    <col min="17" max="20" width="11.57421875" style="60" customWidth="1"/>
    <col min="21" max="21" width="12.140625" style="60" customWidth="1"/>
    <col min="22" max="23" width="11.57421875" style="60" customWidth="1"/>
    <col min="24" max="16384" width="11.57421875" style="0" hidden="1" customWidth="1"/>
  </cols>
  <sheetData>
    <row r="1" spans="1:256" ht="3" customHeight="1">
      <c r="A1" s="23"/>
      <c r="B1" s="23"/>
      <c r="C1" s="23"/>
      <c r="D1" s="23"/>
      <c r="E1" s="23"/>
      <c r="F1" s="23"/>
      <c r="G1" s="23"/>
      <c r="H1" s="23"/>
      <c r="I1" s="23"/>
      <c r="J1" s="23"/>
      <c r="L1" s="1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c r="IV1" s="60"/>
    </row>
    <row r="2" spans="1:256" ht="18">
      <c r="A2" s="29"/>
      <c r="B2" s="477" t="s">
        <v>58</v>
      </c>
      <c r="C2" s="478"/>
      <c r="D2" s="479"/>
      <c r="E2" s="479"/>
      <c r="F2" s="479"/>
      <c r="G2" s="479"/>
      <c r="H2" s="479"/>
      <c r="I2" s="480"/>
      <c r="J2" s="23"/>
      <c r="L2" s="1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c r="IU2" s="60"/>
      <c r="IV2" s="60"/>
    </row>
    <row r="3" spans="1:256" ht="12.75" customHeight="1">
      <c r="A3" s="29"/>
      <c r="B3" s="481" t="s">
        <v>72</v>
      </c>
      <c r="C3" s="482"/>
      <c r="D3" s="482"/>
      <c r="E3" s="482"/>
      <c r="F3" s="482"/>
      <c r="G3" s="482"/>
      <c r="H3" s="482"/>
      <c r="I3" s="483"/>
      <c r="J3" s="23"/>
      <c r="L3" s="1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c r="IU3" s="60"/>
      <c r="IV3" s="60"/>
    </row>
    <row r="4" spans="1:256" ht="9" customHeight="1" thickBot="1">
      <c r="A4" s="29"/>
      <c r="B4" s="176"/>
      <c r="C4" s="29"/>
      <c r="D4" s="29"/>
      <c r="E4" s="29"/>
      <c r="F4" s="29"/>
      <c r="G4" s="29"/>
      <c r="H4" s="29"/>
      <c r="I4" s="177"/>
      <c r="J4" s="23"/>
      <c r="L4" s="1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c r="IU4" s="60"/>
      <c r="IV4" s="60"/>
    </row>
    <row r="5" spans="1:256" ht="12.75" customHeight="1" thickBot="1">
      <c r="A5" s="29"/>
      <c r="B5" s="178" t="s">
        <v>13</v>
      </c>
      <c r="C5" s="21"/>
      <c r="D5" s="484" t="s">
        <v>54</v>
      </c>
      <c r="E5" s="485"/>
      <c r="F5" s="26"/>
      <c r="G5" s="486" t="s">
        <v>10</v>
      </c>
      <c r="H5" s="487"/>
      <c r="I5" s="179">
        <v>20</v>
      </c>
      <c r="J5" s="29"/>
      <c r="L5" s="161">
        <v>10</v>
      </c>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c r="IU5" s="60"/>
      <c r="IV5" s="60"/>
    </row>
    <row r="6" spans="1:256" ht="12.75" customHeight="1" thickBot="1">
      <c r="A6" s="29"/>
      <c r="B6" s="178" t="s">
        <v>56</v>
      </c>
      <c r="C6" s="21"/>
      <c r="D6" s="488" t="s">
        <v>55</v>
      </c>
      <c r="E6" s="489"/>
      <c r="F6" s="27"/>
      <c r="G6" s="486" t="s">
        <v>11</v>
      </c>
      <c r="H6" s="487"/>
      <c r="I6" s="180">
        <v>2.5</v>
      </c>
      <c r="J6" s="29"/>
      <c r="L6" s="161">
        <v>20</v>
      </c>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c r="IV6" s="60"/>
    </row>
    <row r="7" spans="1:256" ht="9" customHeight="1" thickBot="1">
      <c r="A7" s="29"/>
      <c r="B7" s="178"/>
      <c r="C7" s="21"/>
      <c r="D7" s="29"/>
      <c r="E7" s="29"/>
      <c r="F7" s="47"/>
      <c r="G7" s="21"/>
      <c r="H7" s="45"/>
      <c r="I7" s="181"/>
      <c r="J7" s="52"/>
      <c r="K7" s="52"/>
      <c r="L7" s="162">
        <v>30</v>
      </c>
      <c r="M7" s="52"/>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c r="IU7" s="60"/>
      <c r="IV7" s="60"/>
    </row>
    <row r="8" spans="1:256" ht="12.75" customHeight="1" thickBot="1">
      <c r="A8" s="29"/>
      <c r="B8" s="178" t="s">
        <v>14</v>
      </c>
      <c r="C8" s="21"/>
      <c r="D8" s="518">
        <f ca="1">TODAY()</f>
        <v>43775</v>
      </c>
      <c r="E8" s="519"/>
      <c r="F8" s="47"/>
      <c r="G8" s="520" t="s">
        <v>97</v>
      </c>
      <c r="H8" s="500"/>
      <c r="I8" s="182">
        <v>100000</v>
      </c>
      <c r="J8" s="52"/>
      <c r="K8" s="52"/>
      <c r="L8" s="161"/>
      <c r="M8" s="52"/>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c r="IU8" s="60"/>
      <c r="IV8" s="60"/>
    </row>
    <row r="9" spans="1:256" ht="12.75" customHeight="1" thickBot="1">
      <c r="A9" s="29"/>
      <c r="B9" s="178"/>
      <c r="C9" s="21"/>
      <c r="D9" s="29"/>
      <c r="E9" s="29"/>
      <c r="F9" s="520" t="s">
        <v>98</v>
      </c>
      <c r="G9" s="500"/>
      <c r="H9" s="521"/>
      <c r="I9" s="183">
        <v>0.75</v>
      </c>
      <c r="J9" s="52"/>
      <c r="K9" s="52"/>
      <c r="L9" s="161"/>
      <c r="M9" s="52"/>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c r="IU9" s="60"/>
      <c r="IV9" s="60"/>
    </row>
    <row r="10" spans="1:256" ht="6" customHeight="1" thickBot="1">
      <c r="A10" s="29"/>
      <c r="B10" s="176"/>
      <c r="C10" s="29"/>
      <c r="D10" s="29"/>
      <c r="E10" s="29"/>
      <c r="F10" s="29"/>
      <c r="G10" s="29"/>
      <c r="H10" s="29"/>
      <c r="I10" s="372"/>
      <c r="J10" s="54"/>
      <c r="K10" s="52"/>
      <c r="L10" s="160"/>
      <c r="M10" s="52"/>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c r="IU10" s="60"/>
      <c r="IV10" s="60"/>
    </row>
    <row r="11" spans="1:256" ht="12.75" customHeight="1" thickBot="1">
      <c r="A11" s="29"/>
      <c r="B11" s="178" t="s">
        <v>101</v>
      </c>
      <c r="C11" s="21"/>
      <c r="D11" s="57">
        <v>150</v>
      </c>
      <c r="E11" s="28"/>
      <c r="F11" s="486"/>
      <c r="G11" s="486"/>
      <c r="H11" s="486"/>
      <c r="I11" s="177"/>
      <c r="J11" s="52"/>
      <c r="K11" s="55"/>
      <c r="L11" s="160"/>
      <c r="M11" s="55"/>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c r="IU11" s="60"/>
      <c r="IV11" s="60"/>
    </row>
    <row r="12" spans="1:256" ht="12.75" customHeight="1" thickBot="1">
      <c r="A12" s="29"/>
      <c r="B12" s="178"/>
      <c r="C12" s="21"/>
      <c r="D12" s="49"/>
      <c r="F12" s="56"/>
      <c r="G12" s="56"/>
      <c r="H12" s="56" t="s">
        <v>227</v>
      </c>
      <c r="I12" s="373">
        <v>0.05</v>
      </c>
      <c r="J12" s="52"/>
      <c r="K12" s="55"/>
      <c r="L12" s="133"/>
      <c r="M12" s="55"/>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c r="IU12" s="60"/>
      <c r="IV12" s="60"/>
    </row>
    <row r="13" spans="1:256" ht="12.75" customHeight="1" thickBot="1">
      <c r="A13" s="29"/>
      <c r="B13" s="499" t="s">
        <v>235</v>
      </c>
      <c r="C13" s="29"/>
      <c r="D13" s="58">
        <v>2500</v>
      </c>
      <c r="E13" s="525" t="s">
        <v>217</v>
      </c>
      <c r="F13" s="525"/>
      <c r="G13" s="525"/>
      <c r="H13" s="525"/>
      <c r="I13" s="376">
        <f>IF(I5=20,Energie!G30,IF(I5=30,Energie!G41,IF(I5=20,Energie!G30,IF(I5=10,Energie!G19,""))))</f>
        <v>1.6532977051444209</v>
      </c>
      <c r="J13" s="72"/>
      <c r="K13" s="55"/>
      <c r="L13" s="163"/>
      <c r="M13" s="55"/>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c r="IU13" s="60"/>
      <c r="IV13" s="60"/>
    </row>
    <row r="14" spans="1:256" ht="17.25" customHeight="1" thickBot="1">
      <c r="A14" s="29"/>
      <c r="B14" s="499"/>
      <c r="C14" s="29"/>
      <c r="D14" s="44"/>
      <c r="E14" s="525"/>
      <c r="F14" s="525"/>
      <c r="G14" s="525"/>
      <c r="H14" s="525"/>
      <c r="I14" s="184"/>
      <c r="J14" s="72"/>
      <c r="K14" s="55"/>
      <c r="L14" s="160">
        <v>20</v>
      </c>
      <c r="M14" s="55"/>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c r="IU14" s="60"/>
      <c r="IV14" s="60"/>
    </row>
    <row r="15" spans="1:256" ht="12.75" customHeight="1" thickBot="1">
      <c r="A15" s="29"/>
      <c r="B15" s="178" t="s">
        <v>57</v>
      </c>
      <c r="C15" s="29"/>
      <c r="D15" s="59">
        <v>0.1</v>
      </c>
      <c r="E15" s="50"/>
      <c r="F15" s="29"/>
      <c r="G15" s="486" t="s">
        <v>68</v>
      </c>
      <c r="H15" s="500"/>
      <c r="I15" s="179">
        <v>30</v>
      </c>
      <c r="J15" s="53"/>
      <c r="K15" s="55"/>
      <c r="L15" s="160">
        <v>30</v>
      </c>
      <c r="M15" s="55"/>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c r="IU15" s="60"/>
      <c r="IV15" s="60"/>
    </row>
    <row r="16" spans="1:256" ht="9" customHeight="1">
      <c r="A16" s="29"/>
      <c r="B16" s="176"/>
      <c r="C16" s="29"/>
      <c r="D16" s="29"/>
      <c r="E16" s="29"/>
      <c r="F16" s="29"/>
      <c r="G16" s="73"/>
      <c r="H16" s="29"/>
      <c r="I16" s="177"/>
      <c r="J16" s="53"/>
      <c r="K16" s="55"/>
      <c r="L16" s="160">
        <v>40</v>
      </c>
      <c r="M16" s="55"/>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c r="IU16" s="60"/>
      <c r="IV16" s="60"/>
    </row>
    <row r="17" spans="1:256" ht="12.75" customHeight="1">
      <c r="A17" s="29"/>
      <c r="B17" s="526" t="str">
        <f>IF(Detailergebnis!I35&gt;I15,"Achtung! Die Laufzeit der Finanzierung ist noch nicht beendet!","Lüftung, Heizung u. Warmwasserbereitung können im entsprechenden Blatt angepasst werden")</f>
        <v>Lüftung, Heizung u. Warmwasserbereitung können im entsprechenden Blatt angepasst werden</v>
      </c>
      <c r="C17" s="527"/>
      <c r="D17" s="527"/>
      <c r="E17" s="527"/>
      <c r="F17" s="527"/>
      <c r="G17" s="527"/>
      <c r="H17" s="527"/>
      <c r="I17" s="528"/>
      <c r="J17" s="53"/>
      <c r="K17" s="55"/>
      <c r="L17" s="160">
        <v>50</v>
      </c>
      <c r="M17" s="55"/>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c r="IU17" s="60"/>
      <c r="IV17" s="60"/>
    </row>
    <row r="18" spans="1:256" ht="9" customHeight="1">
      <c r="A18" s="29"/>
      <c r="B18" s="176"/>
      <c r="C18" s="29"/>
      <c r="D18" s="29"/>
      <c r="E18" s="29"/>
      <c r="F18" s="29"/>
      <c r="G18" s="29"/>
      <c r="H18" s="29"/>
      <c r="I18" s="177"/>
      <c r="J18" s="53"/>
      <c r="K18" s="52"/>
      <c r="L18" s="160"/>
      <c r="M18" s="52"/>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c r="IU18" s="60"/>
      <c r="IV18" s="60"/>
    </row>
    <row r="19" spans="1:256" ht="16.5" customHeight="1">
      <c r="A19" s="29"/>
      <c r="B19" s="191"/>
      <c r="C19" s="192"/>
      <c r="D19" s="522" t="s">
        <v>230</v>
      </c>
      <c r="E19" s="524"/>
      <c r="F19" s="523"/>
      <c r="G19" s="190" t="s">
        <v>0</v>
      </c>
      <c r="H19" s="522" t="s">
        <v>60</v>
      </c>
      <c r="I19" s="523"/>
      <c r="J19" s="53"/>
      <c r="K19" s="52"/>
      <c r="L19" s="160"/>
      <c r="M19" s="52"/>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c r="IU19" s="60"/>
      <c r="IV19" s="60"/>
    </row>
    <row r="20" spans="1:256" ht="13.5" customHeight="1">
      <c r="A20" s="29"/>
      <c r="B20" s="438" t="s">
        <v>96</v>
      </c>
      <c r="C20" s="435"/>
      <c r="D20" s="455" t="str">
        <f>IF((H28-D28)&gt;0,H28-D28,"X")</f>
        <v>X</v>
      </c>
      <c r="E20" s="456"/>
      <c r="F20" s="457"/>
      <c r="G20" s="436"/>
      <c r="H20" s="512">
        <f>IF((D28-H28)&gt;0,D28-H28,"X")</f>
        <v>5282.07811390725</v>
      </c>
      <c r="I20" s="513"/>
      <c r="J20" s="23"/>
      <c r="K20" s="52"/>
      <c r="L20" s="160"/>
      <c r="M20" s="52"/>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c r="IU20" s="60"/>
      <c r="IV20" s="60"/>
    </row>
    <row r="21" spans="1:256" ht="13.5" customHeight="1">
      <c r="A21" s="29"/>
      <c r="B21" s="516">
        <f>$I$15</f>
        <v>30</v>
      </c>
      <c r="C21" s="517"/>
      <c r="D21" s="458"/>
      <c r="E21" s="459"/>
      <c r="F21" s="460"/>
      <c r="G21" s="437"/>
      <c r="H21" s="514"/>
      <c r="I21" s="515"/>
      <c r="J21" s="23"/>
      <c r="K21" s="52"/>
      <c r="L21" s="160"/>
      <c r="M21" s="52"/>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c r="IU21" s="60"/>
      <c r="IV21" s="60"/>
    </row>
    <row r="22" spans="1:256" ht="13.5" customHeight="1">
      <c r="A22" s="29"/>
      <c r="B22" s="469" t="s">
        <v>15</v>
      </c>
      <c r="C22" s="470"/>
      <c r="D22" s="461">
        <f>Detailergebnis!D33</f>
        <v>397637.5</v>
      </c>
      <c r="E22" s="462"/>
      <c r="F22" s="463"/>
      <c r="G22" s="467">
        <f>Detailergebnis!G33</f>
        <v>0.10449215680110653</v>
      </c>
      <c r="H22" s="461">
        <f>Detailergebnis!I33</f>
        <v>439187.5</v>
      </c>
      <c r="I22" s="463"/>
      <c r="J22" s="23"/>
      <c r="K22" s="52"/>
      <c r="L22" s="160"/>
      <c r="M22" s="52"/>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c r="IU22" s="60"/>
      <c r="IV22" s="60"/>
    </row>
    <row r="23" spans="1:256" ht="13.5" customHeight="1">
      <c r="A23" s="23"/>
      <c r="B23" s="442" t="s">
        <v>245</v>
      </c>
      <c r="C23" s="441"/>
      <c r="D23" s="464"/>
      <c r="E23" s="465"/>
      <c r="F23" s="466"/>
      <c r="G23" s="468"/>
      <c r="H23" s="464"/>
      <c r="I23" s="466"/>
      <c r="K23" s="52"/>
      <c r="L23" s="52"/>
      <c r="M23" s="52"/>
      <c r="N23" s="52"/>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c r="IU23" s="60"/>
      <c r="IV23" s="60"/>
    </row>
    <row r="24" spans="1:10" ht="13.5" customHeight="1">
      <c r="A24" s="23"/>
      <c r="B24" s="471" t="s">
        <v>246</v>
      </c>
      <c r="C24" s="472"/>
      <c r="D24" s="502">
        <f>IF(I15=20,SUM(Darlehen!N9:N248),Darlehen!N369)</f>
        <v>505702.22790745005</v>
      </c>
      <c r="E24" s="502"/>
      <c r="F24" s="502"/>
      <c r="G24" s="501">
        <f>-(D24-H24)/D24</f>
        <v>0.061506454985721735</v>
      </c>
      <c r="H24" s="502">
        <f>IF(I15=20,(SUM(Darlehen!D382:D501)+SUM(Darlehen!N382:N627)+SUM(Darlehen!R382:R628)),Darlehen!D832+Darlehen!N832+Darlehen!R832)</f>
        <v>536806.1792244188</v>
      </c>
      <c r="I24" s="503"/>
      <c r="J24" s="23"/>
    </row>
    <row r="25" spans="1:10" ht="13.5" customHeight="1">
      <c r="A25" s="23"/>
      <c r="B25" s="473" t="str">
        <f>IF(I15=20,IF(I5&gt;10,"über 20 Jahre","gesamt"),"gesamt")</f>
        <v>gesamt</v>
      </c>
      <c r="C25" s="474"/>
      <c r="D25" s="465"/>
      <c r="E25" s="465"/>
      <c r="F25" s="465"/>
      <c r="G25" s="468"/>
      <c r="H25" s="465"/>
      <c r="I25" s="466"/>
      <c r="J25" s="23"/>
    </row>
    <row r="26" spans="1:10" ht="13.5" customHeight="1">
      <c r="A26" s="23"/>
      <c r="B26" s="475" t="s">
        <v>244</v>
      </c>
      <c r="C26" s="476"/>
      <c r="D26" s="462">
        <f>IF(I15=20,Energie!C30,IF(I15=30,Energie!C41,IF(I15=40,Energie!C52,IF(I15=50,Energie!C63,""))))</f>
        <v>58659.42319061418</v>
      </c>
      <c r="E26" s="462"/>
      <c r="F26" s="462"/>
      <c r="G26" s="467">
        <f>-(D26-H26)/D26</f>
        <v>-0.6618892857760326</v>
      </c>
      <c r="H26" s="462">
        <f>IF(I15=20,Energie!D30,IF(I15=30,Energie!D41,IF(I15=40,Energie!D52,IF(I15=50,Energie!D63,""))))</f>
        <v>19833.37947094452</v>
      </c>
      <c r="I26" s="463"/>
      <c r="J26" s="23"/>
    </row>
    <row r="27" spans="1:12" ht="13.5" customHeight="1">
      <c r="A27" s="23"/>
      <c r="B27" s="453">
        <f>$I$15</f>
        <v>30</v>
      </c>
      <c r="C27" s="454"/>
      <c r="D27" s="465"/>
      <c r="E27" s="465"/>
      <c r="F27" s="465"/>
      <c r="G27" s="468"/>
      <c r="H27" s="465"/>
      <c r="I27" s="466"/>
      <c r="J27" s="23"/>
      <c r="K27" s="396"/>
      <c r="L27" s="397"/>
    </row>
    <row r="28" spans="1:10" ht="13.5" customHeight="1">
      <c r="A28" s="23"/>
      <c r="B28" s="439" t="s">
        <v>1</v>
      </c>
      <c r="C28" s="440"/>
      <c r="D28" s="506">
        <f>D24+D26+Detailergebnis!D48</f>
        <v>568115.51923467</v>
      </c>
      <c r="E28" s="506"/>
      <c r="F28" s="75"/>
      <c r="G28" s="504">
        <f>-(D28-H28)/D28</f>
        <v>-0.009297542374872875</v>
      </c>
      <c r="H28" s="506">
        <f>H24+H26+Detailergebnis!I48</f>
        <v>562833.4411207627</v>
      </c>
      <c r="I28" s="507"/>
      <c r="J28" s="29"/>
    </row>
    <row r="29" spans="1:10" ht="13.5" customHeight="1">
      <c r="A29" s="23"/>
      <c r="B29" s="453">
        <f>$I$15</f>
        <v>30</v>
      </c>
      <c r="C29" s="454"/>
      <c r="D29" s="508"/>
      <c r="E29" s="508"/>
      <c r="F29" s="418"/>
      <c r="G29" s="505"/>
      <c r="H29" s="508"/>
      <c r="I29" s="509"/>
      <c r="J29" s="29"/>
    </row>
    <row r="30" spans="1:10" ht="123.75" customHeight="1">
      <c r="A30" s="23"/>
      <c r="B30" s="29"/>
      <c r="C30" s="29"/>
      <c r="D30" s="23"/>
      <c r="E30" s="29"/>
      <c r="F30" s="29"/>
      <c r="G30" s="29"/>
      <c r="H30" s="71"/>
      <c r="I30" s="23"/>
      <c r="J30" s="23"/>
    </row>
    <row r="31" spans="1:10" ht="12.75" customHeight="1">
      <c r="A31" s="23"/>
      <c r="B31" s="29"/>
      <c r="C31" s="29"/>
      <c r="D31" s="23"/>
      <c r="E31" s="29"/>
      <c r="F31" s="29"/>
      <c r="G31" s="29"/>
      <c r="H31" s="71"/>
      <c r="I31" s="23"/>
      <c r="J31" s="23"/>
    </row>
    <row r="32" spans="1:10" ht="12.75" customHeight="1">
      <c r="A32" s="23"/>
      <c r="B32" s="29"/>
      <c r="C32" s="29"/>
      <c r="D32" s="23"/>
      <c r="E32" s="29"/>
      <c r="F32" s="29"/>
      <c r="G32" s="29"/>
      <c r="H32" s="71"/>
      <c r="I32" s="23"/>
      <c r="J32" s="23"/>
    </row>
    <row r="33" spans="1:10" ht="12.75" customHeight="1">
      <c r="A33" s="23"/>
      <c r="B33" s="29"/>
      <c r="C33" s="29"/>
      <c r="D33" s="23"/>
      <c r="E33" s="29"/>
      <c r="F33" s="29"/>
      <c r="G33" s="29"/>
      <c r="H33" s="71"/>
      <c r="I33" s="23"/>
      <c r="J33" s="23"/>
    </row>
    <row r="34" spans="1:10" ht="12.75" customHeight="1">
      <c r="A34" s="23"/>
      <c r="B34" s="29"/>
      <c r="C34" s="29"/>
      <c r="D34" s="23"/>
      <c r="E34" s="29"/>
      <c r="F34" s="29"/>
      <c r="G34" s="29"/>
      <c r="H34" s="71"/>
      <c r="I34" s="23"/>
      <c r="J34" s="23"/>
    </row>
    <row r="35" spans="1:10" ht="12.75" customHeight="1">
      <c r="A35" s="23"/>
      <c r="B35" s="29"/>
      <c r="C35" s="29"/>
      <c r="D35" s="23"/>
      <c r="E35" s="29"/>
      <c r="F35" s="29"/>
      <c r="G35" s="29"/>
      <c r="H35" s="71"/>
      <c r="I35" s="23"/>
      <c r="J35" s="23"/>
    </row>
    <row r="36" spans="1:10" ht="12.75" customHeight="1">
      <c r="A36" s="23"/>
      <c r="B36" s="29"/>
      <c r="C36" s="29"/>
      <c r="D36" s="23"/>
      <c r="E36" s="29"/>
      <c r="F36" s="29"/>
      <c r="G36" s="29"/>
      <c r="H36" s="71"/>
      <c r="I36" s="23"/>
      <c r="J36" s="23"/>
    </row>
    <row r="37" spans="1:10" ht="12.75" customHeight="1">
      <c r="A37" s="23"/>
      <c r="B37" s="29"/>
      <c r="C37" s="29"/>
      <c r="D37" s="23"/>
      <c r="E37" s="29"/>
      <c r="F37" s="29"/>
      <c r="G37" s="29"/>
      <c r="H37" s="71"/>
      <c r="I37" s="23"/>
      <c r="J37" s="23"/>
    </row>
    <row r="38" spans="1:10" ht="12.75" customHeight="1">
      <c r="A38" s="23"/>
      <c r="B38" s="29"/>
      <c r="C38" s="29"/>
      <c r="D38" s="23"/>
      <c r="E38" s="29"/>
      <c r="F38" s="29"/>
      <c r="G38" s="29"/>
      <c r="H38" s="71"/>
      <c r="I38" s="23"/>
      <c r="J38" s="23"/>
    </row>
    <row r="39" spans="1:10" ht="12.75" customHeight="1">
      <c r="A39" s="23"/>
      <c r="B39" s="29"/>
      <c r="C39" s="29"/>
      <c r="D39" s="23"/>
      <c r="E39" s="29"/>
      <c r="F39" s="29"/>
      <c r="G39" s="29"/>
      <c r="H39" s="71"/>
      <c r="I39" s="23"/>
      <c r="J39" s="23"/>
    </row>
    <row r="40" spans="1:10" ht="12.75" customHeight="1">
      <c r="A40" s="23"/>
      <c r="B40" s="29"/>
      <c r="C40" s="29"/>
      <c r="D40" s="23"/>
      <c r="E40" s="29"/>
      <c r="F40" s="29"/>
      <c r="G40" s="29"/>
      <c r="H40" s="71"/>
      <c r="I40" s="23"/>
      <c r="J40" s="23"/>
    </row>
    <row r="41" spans="1:10" ht="12.75" customHeight="1">
      <c r="A41" s="23"/>
      <c r="B41" s="29"/>
      <c r="C41" s="29"/>
      <c r="D41" s="23"/>
      <c r="E41" s="29"/>
      <c r="F41" s="29"/>
      <c r="G41" s="29"/>
      <c r="H41" s="71"/>
      <c r="I41" s="23"/>
      <c r="J41" s="23"/>
    </row>
    <row r="42" spans="1:10" ht="12.75" customHeight="1">
      <c r="A42" s="23"/>
      <c r="B42" s="29"/>
      <c r="C42" s="29"/>
      <c r="D42" s="23"/>
      <c r="E42" s="29"/>
      <c r="F42" s="29"/>
      <c r="G42" s="29"/>
      <c r="H42" s="71"/>
      <c r="I42" s="23"/>
      <c r="J42" s="23"/>
    </row>
    <row r="43" spans="1:21" ht="12.75" customHeight="1">
      <c r="A43" s="23"/>
      <c r="B43" s="29"/>
      <c r="C43" s="29"/>
      <c r="D43" s="23"/>
      <c r="E43" s="29"/>
      <c r="F43" s="29"/>
      <c r="G43" s="29"/>
      <c r="H43" s="71"/>
      <c r="I43" s="23"/>
      <c r="J43" s="23"/>
      <c r="K43" s="23"/>
      <c r="L43" s="23"/>
      <c r="M43" s="23"/>
      <c r="N43" s="490" t="s">
        <v>257</v>
      </c>
      <c r="O43" s="491"/>
      <c r="P43" s="491"/>
      <c r="Q43" s="491"/>
      <c r="R43" s="491"/>
      <c r="S43" s="491"/>
      <c r="T43" s="491"/>
      <c r="U43" s="492"/>
    </row>
    <row r="44" spans="1:21" ht="12.75" customHeight="1">
      <c r="A44" s="23"/>
      <c r="B44" s="29"/>
      <c r="C44" s="29"/>
      <c r="D44" s="23"/>
      <c r="E44" s="29"/>
      <c r="F44" s="29"/>
      <c r="G44" s="29"/>
      <c r="H44" s="71"/>
      <c r="I44" s="23"/>
      <c r="J44" s="23"/>
      <c r="K44" s="23"/>
      <c r="L44" s="23"/>
      <c r="M44" s="23"/>
      <c r="N44" s="493"/>
      <c r="O44" s="494"/>
      <c r="P44" s="494"/>
      <c r="Q44" s="494"/>
      <c r="R44" s="494"/>
      <c r="S44" s="494"/>
      <c r="T44" s="494"/>
      <c r="U44" s="495"/>
    </row>
    <row r="45" spans="1:21" ht="12.75" customHeight="1">
      <c r="A45" s="23"/>
      <c r="B45" s="29"/>
      <c r="C45" s="29"/>
      <c r="D45" s="23"/>
      <c r="E45" s="29"/>
      <c r="F45" s="29"/>
      <c r="G45" s="29"/>
      <c r="H45" s="71"/>
      <c r="I45" s="23"/>
      <c r="J45" s="23"/>
      <c r="K45" s="23"/>
      <c r="L45" s="23"/>
      <c r="M45" s="23"/>
      <c r="N45" s="493"/>
      <c r="O45" s="494"/>
      <c r="P45" s="494"/>
      <c r="Q45" s="494"/>
      <c r="R45" s="494"/>
      <c r="S45" s="494"/>
      <c r="T45" s="494"/>
      <c r="U45" s="495"/>
    </row>
    <row r="46" spans="1:21" ht="12.75" customHeight="1">
      <c r="A46" s="23"/>
      <c r="B46" s="29"/>
      <c r="C46" s="29"/>
      <c r="D46" s="23"/>
      <c r="E46" s="29"/>
      <c r="F46" s="29"/>
      <c r="G46" s="29"/>
      <c r="H46" s="71"/>
      <c r="I46" s="23"/>
      <c r="J46" s="23"/>
      <c r="K46" s="23"/>
      <c r="L46" s="23"/>
      <c r="M46" s="23"/>
      <c r="N46" s="493"/>
      <c r="O46" s="494"/>
      <c r="P46" s="494"/>
      <c r="Q46" s="494"/>
      <c r="R46" s="494"/>
      <c r="S46" s="494"/>
      <c r="T46" s="494"/>
      <c r="U46" s="495"/>
    </row>
    <row r="47" spans="1:21" ht="12.75" customHeight="1" thickBot="1">
      <c r="A47" s="23"/>
      <c r="B47" s="29"/>
      <c r="C47" s="29"/>
      <c r="D47" s="23"/>
      <c r="E47" s="29"/>
      <c r="F47" s="29"/>
      <c r="G47" s="29"/>
      <c r="H47" s="71"/>
      <c r="I47" s="23"/>
      <c r="J47" s="23"/>
      <c r="K47" s="23"/>
      <c r="L47" s="23"/>
      <c r="M47" s="23"/>
      <c r="N47" s="493"/>
      <c r="O47" s="494"/>
      <c r="P47" s="494"/>
      <c r="Q47" s="494"/>
      <c r="R47" s="494"/>
      <c r="S47" s="494"/>
      <c r="T47" s="494"/>
      <c r="U47" s="495"/>
    </row>
    <row r="48" spans="1:21" ht="15" customHeight="1" thickBot="1">
      <c r="A48" s="23"/>
      <c r="B48" s="83"/>
      <c r="C48" s="38"/>
      <c r="E48" s="74" t="s">
        <v>69</v>
      </c>
      <c r="F48" s="23"/>
      <c r="G48" s="57"/>
      <c r="H48" s="510" t="s">
        <v>73</v>
      </c>
      <c r="I48" s="511"/>
      <c r="J48" s="23"/>
      <c r="K48" s="23"/>
      <c r="L48" s="23"/>
      <c r="M48" s="23"/>
      <c r="N48" s="496"/>
      <c r="O48" s="497"/>
      <c r="P48" s="497"/>
      <c r="Q48" s="497"/>
      <c r="R48" s="497"/>
      <c r="S48" s="497"/>
      <c r="T48" s="497"/>
      <c r="U48" s="498"/>
    </row>
    <row r="49" spans="1:10" ht="3" customHeight="1">
      <c r="A49" s="29"/>
      <c r="B49" s="29"/>
      <c r="C49" s="29"/>
      <c r="D49" s="29"/>
      <c r="E49" s="29"/>
      <c r="F49" s="29"/>
      <c r="G49" s="29"/>
      <c r="H49" s="29"/>
      <c r="I49" s="29"/>
      <c r="J49" s="29"/>
    </row>
    <row r="50" spans="1:10" ht="12.75">
      <c r="A50" s="29"/>
      <c r="B50" s="29"/>
      <c r="C50" s="29"/>
      <c r="D50" s="29"/>
      <c r="E50" s="29"/>
      <c r="F50" s="29"/>
      <c r="G50" s="29"/>
      <c r="H50" s="29"/>
      <c r="I50" s="29"/>
      <c r="J50" s="29"/>
    </row>
    <row r="51" spans="1:15" ht="12.75">
      <c r="A51" s="29"/>
      <c r="B51" s="51"/>
      <c r="C51" s="51"/>
      <c r="D51" s="51"/>
      <c r="E51" s="51"/>
      <c r="F51" s="51"/>
      <c r="G51" s="51"/>
      <c r="H51" s="51"/>
      <c r="I51" s="51"/>
      <c r="J51" s="39"/>
      <c r="K51" s="39"/>
      <c r="L51" s="39"/>
      <c r="M51" s="39"/>
      <c r="N51" s="39"/>
      <c r="O51" s="39"/>
    </row>
    <row r="52" spans="1:15" ht="12.75">
      <c r="A52" s="29"/>
      <c r="B52" s="51"/>
      <c r="C52" s="51"/>
      <c r="D52" s="51"/>
      <c r="E52" s="136"/>
      <c r="F52" s="51"/>
      <c r="G52" s="51"/>
      <c r="H52" s="51"/>
      <c r="I52" s="51"/>
      <c r="J52" s="39"/>
      <c r="K52" s="39"/>
      <c r="L52" s="39"/>
      <c r="M52" s="39"/>
      <c r="N52" s="39"/>
      <c r="O52" s="39"/>
    </row>
    <row r="53" spans="1:15" ht="12.75">
      <c r="A53" s="29"/>
      <c r="B53" s="51"/>
      <c r="C53" s="48"/>
      <c r="D53" s="48"/>
      <c r="E53" s="48"/>
      <c r="F53" s="48"/>
      <c r="G53" s="48"/>
      <c r="H53" s="48"/>
      <c r="I53" s="48"/>
      <c r="J53" s="39"/>
      <c r="K53" s="39"/>
      <c r="L53" s="39"/>
      <c r="M53" s="39"/>
      <c r="N53" s="39"/>
      <c r="O53" s="39"/>
    </row>
    <row r="54" spans="1:256" ht="12.75">
      <c r="A54" s="29"/>
      <c r="B54" s="39"/>
      <c r="C54" s="39"/>
      <c r="D54" s="39"/>
      <c r="E54" s="39"/>
      <c r="F54" s="39"/>
      <c r="G54" s="39"/>
      <c r="H54" s="39"/>
      <c r="I54" s="39"/>
      <c r="J54" s="39"/>
      <c r="K54" s="39"/>
      <c r="L54" s="39"/>
      <c r="M54" s="39"/>
      <c r="N54" s="39"/>
      <c r="O54" s="39"/>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18"/>
      <c r="GU54" s="18"/>
      <c r="GV54" s="18"/>
      <c r="GW54" s="18"/>
      <c r="GX54" s="18"/>
      <c r="GY54" s="18"/>
      <c r="GZ54" s="18"/>
      <c r="HA54" s="18"/>
      <c r="HB54" s="18"/>
      <c r="HC54" s="18"/>
      <c r="HD54" s="18"/>
      <c r="HE54" s="18"/>
      <c r="HF54" s="18"/>
      <c r="HG54" s="18"/>
      <c r="HH54" s="18"/>
      <c r="HI54" s="18"/>
      <c r="HJ54" s="18"/>
      <c r="HK54" s="18"/>
      <c r="HL54" s="18"/>
      <c r="HM54" s="18"/>
      <c r="HN54" s="18"/>
      <c r="HO54" s="18"/>
      <c r="HP54" s="18"/>
      <c r="HQ54" s="18"/>
      <c r="HR54" s="18"/>
      <c r="HS54" s="18"/>
      <c r="HT54" s="18"/>
      <c r="HU54" s="18"/>
      <c r="HV54" s="18"/>
      <c r="HW54" s="18"/>
      <c r="HX54" s="18"/>
      <c r="HY54" s="18"/>
      <c r="HZ54" s="18"/>
      <c r="IA54" s="18"/>
      <c r="IB54" s="18"/>
      <c r="IC54" s="18"/>
      <c r="ID54" s="18"/>
      <c r="IE54" s="18"/>
      <c r="IF54" s="18"/>
      <c r="IG54" s="18"/>
      <c r="IH54" s="18"/>
      <c r="II54" s="18"/>
      <c r="IJ54" s="18"/>
      <c r="IK54" s="18"/>
      <c r="IL54" s="18"/>
      <c r="IM54" s="18"/>
      <c r="IN54" s="18"/>
      <c r="IO54" s="18"/>
      <c r="IP54" s="18"/>
      <c r="IQ54" s="18"/>
      <c r="IR54" s="18"/>
      <c r="IS54" s="18"/>
      <c r="IT54" s="18"/>
      <c r="IU54" s="18"/>
      <c r="IV54" s="18"/>
    </row>
    <row r="55" spans="1:256" ht="12.75">
      <c r="A55" s="29"/>
      <c r="B55" s="39"/>
      <c r="C55" s="39"/>
      <c r="D55" s="39"/>
      <c r="E55" s="39"/>
      <c r="F55" s="39"/>
      <c r="G55" s="39"/>
      <c r="H55" s="39"/>
      <c r="I55" s="39"/>
      <c r="J55" s="39"/>
      <c r="K55" s="39"/>
      <c r="L55" s="39"/>
      <c r="M55" s="39"/>
      <c r="N55" s="39"/>
      <c r="O55" s="39"/>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18"/>
      <c r="GX55" s="18"/>
      <c r="GY55" s="18"/>
      <c r="GZ55" s="18"/>
      <c r="HA55" s="18"/>
      <c r="HB55" s="18"/>
      <c r="HC55" s="18"/>
      <c r="HD55" s="18"/>
      <c r="HE55" s="18"/>
      <c r="HF55" s="18"/>
      <c r="HG55" s="18"/>
      <c r="HH55" s="18"/>
      <c r="HI55" s="18"/>
      <c r="HJ55" s="18"/>
      <c r="HK55" s="18"/>
      <c r="HL55" s="18"/>
      <c r="HM55" s="18"/>
      <c r="HN55" s="18"/>
      <c r="HO55" s="18"/>
      <c r="HP55" s="18"/>
      <c r="HQ55" s="18"/>
      <c r="HR55" s="18"/>
      <c r="HS55" s="18"/>
      <c r="HT55" s="18"/>
      <c r="HU55" s="18"/>
      <c r="HV55" s="18"/>
      <c r="HW55" s="18"/>
      <c r="HX55" s="18"/>
      <c r="HY55" s="18"/>
      <c r="HZ55" s="18"/>
      <c r="IA55" s="18"/>
      <c r="IB55" s="18"/>
      <c r="IC55" s="18"/>
      <c r="ID55" s="18"/>
      <c r="IE55" s="18"/>
      <c r="IF55" s="18"/>
      <c r="IG55" s="18"/>
      <c r="IH55" s="18"/>
      <c r="II55" s="18"/>
      <c r="IJ55" s="18"/>
      <c r="IK55" s="18"/>
      <c r="IL55" s="18"/>
      <c r="IM55" s="18"/>
      <c r="IN55" s="18"/>
      <c r="IO55" s="18"/>
      <c r="IP55" s="18"/>
      <c r="IQ55" s="18"/>
      <c r="IR55" s="18"/>
      <c r="IS55" s="18"/>
      <c r="IT55" s="18"/>
      <c r="IU55" s="18"/>
      <c r="IV55" s="18"/>
    </row>
    <row r="56" spans="1:256" ht="12.75">
      <c r="A56" s="29"/>
      <c r="B56" s="39"/>
      <c r="C56" s="39"/>
      <c r="D56" s="39"/>
      <c r="E56" s="39"/>
      <c r="F56" s="39"/>
      <c r="G56" s="39"/>
      <c r="H56" s="39"/>
      <c r="I56" s="39"/>
      <c r="J56" s="39"/>
      <c r="K56" s="39"/>
      <c r="L56" s="39"/>
      <c r="M56" s="39"/>
      <c r="N56" s="39"/>
      <c r="O56" s="39"/>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c r="HV56" s="18"/>
      <c r="HW56" s="18"/>
      <c r="HX56" s="18"/>
      <c r="HY56" s="18"/>
      <c r="HZ56" s="18"/>
      <c r="IA56" s="18"/>
      <c r="IB56" s="18"/>
      <c r="IC56" s="18"/>
      <c r="ID56" s="18"/>
      <c r="IE56" s="18"/>
      <c r="IF56" s="18"/>
      <c r="IG56" s="18"/>
      <c r="IH56" s="18"/>
      <c r="II56" s="18"/>
      <c r="IJ56" s="18"/>
      <c r="IK56" s="18"/>
      <c r="IL56" s="18"/>
      <c r="IM56" s="18"/>
      <c r="IN56" s="18"/>
      <c r="IO56" s="18"/>
      <c r="IP56" s="18"/>
      <c r="IQ56" s="18"/>
      <c r="IR56" s="18"/>
      <c r="IS56" s="18"/>
      <c r="IT56" s="18"/>
      <c r="IU56" s="18"/>
      <c r="IV56" s="18"/>
    </row>
    <row r="57" spans="1:256" ht="12.75">
      <c r="A57" s="29"/>
      <c r="B57" s="39"/>
      <c r="C57" s="39"/>
      <c r="D57" s="39"/>
      <c r="E57" s="39"/>
      <c r="F57" s="39"/>
      <c r="G57" s="39"/>
      <c r="H57" s="39"/>
      <c r="I57" s="39"/>
      <c r="J57" s="39"/>
      <c r="K57" s="39"/>
      <c r="L57" s="39"/>
      <c r="M57" s="39"/>
      <c r="N57" s="39"/>
      <c r="O57" s="39"/>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18"/>
      <c r="HC57" s="18"/>
      <c r="HD57" s="18"/>
      <c r="HE57" s="18"/>
      <c r="HF57" s="18"/>
      <c r="HG57" s="18"/>
      <c r="HH57" s="18"/>
      <c r="HI57" s="18"/>
      <c r="HJ57" s="18"/>
      <c r="HK57" s="18"/>
      <c r="HL57" s="18"/>
      <c r="HM57" s="18"/>
      <c r="HN57" s="18"/>
      <c r="HO57" s="18"/>
      <c r="HP57" s="18"/>
      <c r="HQ57" s="18"/>
      <c r="HR57" s="18"/>
      <c r="HS57" s="18"/>
      <c r="HT57" s="18"/>
      <c r="HU57" s="18"/>
      <c r="HV57" s="18"/>
      <c r="HW57" s="18"/>
      <c r="HX57" s="18"/>
      <c r="HY57" s="18"/>
      <c r="HZ57" s="18"/>
      <c r="IA57" s="18"/>
      <c r="IB57" s="18"/>
      <c r="IC57" s="18"/>
      <c r="ID57" s="18"/>
      <c r="IE57" s="18"/>
      <c r="IF57" s="18"/>
      <c r="IG57" s="18"/>
      <c r="IH57" s="18"/>
      <c r="II57" s="18"/>
      <c r="IJ57" s="18"/>
      <c r="IK57" s="18"/>
      <c r="IL57" s="18"/>
      <c r="IM57" s="18"/>
      <c r="IN57" s="18"/>
      <c r="IO57" s="18"/>
      <c r="IP57" s="18"/>
      <c r="IQ57" s="18"/>
      <c r="IR57" s="18"/>
      <c r="IS57" s="18"/>
      <c r="IT57" s="18"/>
      <c r="IU57" s="18"/>
      <c r="IV57" s="18"/>
    </row>
    <row r="58" spans="1:256" ht="12.75">
      <c r="A58" s="29"/>
      <c r="B58" s="39"/>
      <c r="C58" s="39"/>
      <c r="D58" s="39"/>
      <c r="E58" s="39"/>
      <c r="F58" s="39"/>
      <c r="G58" s="39"/>
      <c r="H58" s="39"/>
      <c r="I58" s="39"/>
      <c r="J58" s="39"/>
      <c r="K58" s="39"/>
      <c r="L58" s="39"/>
      <c r="M58" s="39"/>
      <c r="N58" s="39"/>
      <c r="O58" s="39"/>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18"/>
      <c r="GU58" s="18"/>
      <c r="GV58" s="18"/>
      <c r="GW58" s="18"/>
      <c r="GX58" s="18"/>
      <c r="GY58" s="18"/>
      <c r="GZ58" s="18"/>
      <c r="HA58" s="18"/>
      <c r="HB58" s="18"/>
      <c r="HC58" s="18"/>
      <c r="HD58" s="18"/>
      <c r="HE58" s="18"/>
      <c r="HF58" s="18"/>
      <c r="HG58" s="18"/>
      <c r="HH58" s="18"/>
      <c r="HI58" s="18"/>
      <c r="HJ58" s="18"/>
      <c r="HK58" s="18"/>
      <c r="HL58" s="18"/>
      <c r="HM58" s="18"/>
      <c r="HN58" s="18"/>
      <c r="HO58" s="18"/>
      <c r="HP58" s="18"/>
      <c r="HQ58" s="18"/>
      <c r="HR58" s="18"/>
      <c r="HS58" s="18"/>
      <c r="HT58" s="18"/>
      <c r="HU58" s="18"/>
      <c r="HV58" s="18"/>
      <c r="HW58" s="18"/>
      <c r="HX58" s="18"/>
      <c r="HY58" s="18"/>
      <c r="HZ58" s="18"/>
      <c r="IA58" s="18"/>
      <c r="IB58" s="18"/>
      <c r="IC58" s="18"/>
      <c r="ID58" s="18"/>
      <c r="IE58" s="18"/>
      <c r="IF58" s="18"/>
      <c r="IG58" s="18"/>
      <c r="IH58" s="18"/>
      <c r="II58" s="18"/>
      <c r="IJ58" s="18"/>
      <c r="IK58" s="18"/>
      <c r="IL58" s="18"/>
      <c r="IM58" s="18"/>
      <c r="IN58" s="18"/>
      <c r="IO58" s="18"/>
      <c r="IP58" s="18"/>
      <c r="IQ58" s="18"/>
      <c r="IR58" s="18"/>
      <c r="IS58" s="18"/>
      <c r="IT58" s="18"/>
      <c r="IU58" s="18"/>
      <c r="IV58" s="18"/>
    </row>
    <row r="59" spans="1:256" ht="12.75">
      <c r="A59" s="29"/>
      <c r="B59" s="39"/>
      <c r="C59" s="39"/>
      <c r="D59" s="39"/>
      <c r="E59" s="39"/>
      <c r="F59" s="39"/>
      <c r="G59" s="39"/>
      <c r="H59" s="39"/>
      <c r="I59" s="39"/>
      <c r="J59" s="39"/>
      <c r="K59" s="39"/>
      <c r="L59" s="39"/>
      <c r="M59" s="39"/>
      <c r="N59" s="39"/>
      <c r="O59" s="39"/>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18"/>
      <c r="GD59" s="18"/>
      <c r="GE59" s="18"/>
      <c r="GF59" s="18"/>
      <c r="GG59" s="18"/>
      <c r="GH59" s="18"/>
      <c r="GI59" s="18"/>
      <c r="GJ59" s="18"/>
      <c r="GK59" s="18"/>
      <c r="GL59" s="18"/>
      <c r="GM59" s="18"/>
      <c r="GN59" s="18"/>
      <c r="GO59" s="18"/>
      <c r="GP59" s="18"/>
      <c r="GQ59" s="18"/>
      <c r="GR59" s="18"/>
      <c r="GS59" s="18"/>
      <c r="GT59" s="18"/>
      <c r="GU59" s="18"/>
      <c r="GV59" s="18"/>
      <c r="GW59" s="18"/>
      <c r="GX59" s="18"/>
      <c r="GY59" s="18"/>
      <c r="GZ59" s="18"/>
      <c r="HA59" s="18"/>
      <c r="HB59" s="18"/>
      <c r="HC59" s="18"/>
      <c r="HD59" s="18"/>
      <c r="HE59" s="18"/>
      <c r="HF59" s="18"/>
      <c r="HG59" s="18"/>
      <c r="HH59" s="18"/>
      <c r="HI59" s="18"/>
      <c r="HJ59" s="18"/>
      <c r="HK59" s="18"/>
      <c r="HL59" s="18"/>
      <c r="HM59" s="18"/>
      <c r="HN59" s="18"/>
      <c r="HO59" s="18"/>
      <c r="HP59" s="18"/>
      <c r="HQ59" s="18"/>
      <c r="HR59" s="18"/>
      <c r="HS59" s="18"/>
      <c r="HT59" s="18"/>
      <c r="HU59" s="18"/>
      <c r="HV59" s="18"/>
      <c r="HW59" s="18"/>
      <c r="HX59" s="18"/>
      <c r="HY59" s="18"/>
      <c r="HZ59" s="18"/>
      <c r="IA59" s="18"/>
      <c r="IB59" s="18"/>
      <c r="IC59" s="18"/>
      <c r="ID59" s="18"/>
      <c r="IE59" s="18"/>
      <c r="IF59" s="18"/>
      <c r="IG59" s="18"/>
      <c r="IH59" s="18"/>
      <c r="II59" s="18"/>
      <c r="IJ59" s="18"/>
      <c r="IK59" s="18"/>
      <c r="IL59" s="18"/>
      <c r="IM59" s="18"/>
      <c r="IN59" s="18"/>
      <c r="IO59" s="18"/>
      <c r="IP59" s="18"/>
      <c r="IQ59" s="18"/>
      <c r="IR59" s="18"/>
      <c r="IS59" s="18"/>
      <c r="IT59" s="18"/>
      <c r="IU59" s="18"/>
      <c r="IV59" s="18"/>
    </row>
    <row r="60" spans="1:256" ht="12.75">
      <c r="A60" s="29"/>
      <c r="B60" s="39"/>
      <c r="C60" s="39"/>
      <c r="D60" s="39"/>
      <c r="E60" s="39"/>
      <c r="F60" s="39"/>
      <c r="G60" s="39"/>
      <c r="H60" s="39"/>
      <c r="I60" s="39"/>
      <c r="J60" s="39"/>
      <c r="K60" s="39"/>
      <c r="L60" s="39"/>
      <c r="M60" s="39"/>
      <c r="N60" s="39"/>
      <c r="O60" s="39"/>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18"/>
      <c r="GU60" s="18"/>
      <c r="GV60" s="18"/>
      <c r="GW60" s="18"/>
      <c r="GX60" s="18"/>
      <c r="GY60" s="18"/>
      <c r="GZ60" s="18"/>
      <c r="HA60" s="18"/>
      <c r="HB60" s="18"/>
      <c r="HC60" s="18"/>
      <c r="HD60" s="18"/>
      <c r="HE60" s="18"/>
      <c r="HF60" s="18"/>
      <c r="HG60" s="18"/>
      <c r="HH60" s="18"/>
      <c r="HI60" s="18"/>
      <c r="HJ60" s="18"/>
      <c r="HK60" s="18"/>
      <c r="HL60" s="18"/>
      <c r="HM60" s="18"/>
      <c r="HN60" s="18"/>
      <c r="HO60" s="18"/>
      <c r="HP60" s="18"/>
      <c r="HQ60" s="18"/>
      <c r="HR60" s="18"/>
      <c r="HS60" s="18"/>
      <c r="HT60" s="18"/>
      <c r="HU60" s="18"/>
      <c r="HV60" s="18"/>
      <c r="HW60" s="18"/>
      <c r="HX60" s="18"/>
      <c r="HY60" s="18"/>
      <c r="HZ60" s="18"/>
      <c r="IA60" s="18"/>
      <c r="IB60" s="18"/>
      <c r="IC60" s="18"/>
      <c r="ID60" s="18"/>
      <c r="IE60" s="18"/>
      <c r="IF60" s="18"/>
      <c r="IG60" s="18"/>
      <c r="IH60" s="18"/>
      <c r="II60" s="18"/>
      <c r="IJ60" s="18"/>
      <c r="IK60" s="18"/>
      <c r="IL60" s="18"/>
      <c r="IM60" s="18"/>
      <c r="IN60" s="18"/>
      <c r="IO60" s="18"/>
      <c r="IP60" s="18"/>
      <c r="IQ60" s="18"/>
      <c r="IR60" s="18"/>
      <c r="IS60" s="18"/>
      <c r="IT60" s="18"/>
      <c r="IU60" s="18"/>
      <c r="IV60" s="18"/>
    </row>
    <row r="61" spans="1:256" ht="12.75">
      <c r="A61" s="29"/>
      <c r="B61" s="39"/>
      <c r="C61" s="39"/>
      <c r="D61" s="39"/>
      <c r="E61" s="39"/>
      <c r="F61" s="39"/>
      <c r="G61" s="39"/>
      <c r="H61" s="39"/>
      <c r="I61" s="39"/>
      <c r="J61" s="39"/>
      <c r="K61" s="39"/>
      <c r="L61" s="39"/>
      <c r="M61" s="39"/>
      <c r="N61" s="39"/>
      <c r="O61" s="39"/>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18"/>
      <c r="GU61" s="18"/>
      <c r="GV61" s="18"/>
      <c r="GW61" s="18"/>
      <c r="GX61" s="18"/>
      <c r="GY61" s="18"/>
      <c r="GZ61" s="18"/>
      <c r="HA61" s="18"/>
      <c r="HB61" s="18"/>
      <c r="HC61" s="18"/>
      <c r="HD61" s="18"/>
      <c r="HE61" s="18"/>
      <c r="HF61" s="18"/>
      <c r="HG61" s="18"/>
      <c r="HH61" s="18"/>
      <c r="HI61" s="18"/>
      <c r="HJ61" s="18"/>
      <c r="HK61" s="18"/>
      <c r="HL61" s="18"/>
      <c r="HM61" s="18"/>
      <c r="HN61" s="18"/>
      <c r="HO61" s="18"/>
      <c r="HP61" s="18"/>
      <c r="HQ61" s="18"/>
      <c r="HR61" s="18"/>
      <c r="HS61" s="18"/>
      <c r="HT61" s="18"/>
      <c r="HU61" s="18"/>
      <c r="HV61" s="18"/>
      <c r="HW61" s="18"/>
      <c r="HX61" s="18"/>
      <c r="HY61" s="18"/>
      <c r="HZ61" s="18"/>
      <c r="IA61" s="18"/>
      <c r="IB61" s="18"/>
      <c r="IC61" s="18"/>
      <c r="ID61" s="18"/>
      <c r="IE61" s="18"/>
      <c r="IF61" s="18"/>
      <c r="IG61" s="18"/>
      <c r="IH61" s="18"/>
      <c r="II61" s="18"/>
      <c r="IJ61" s="18"/>
      <c r="IK61" s="18"/>
      <c r="IL61" s="18"/>
      <c r="IM61" s="18"/>
      <c r="IN61" s="18"/>
      <c r="IO61" s="18"/>
      <c r="IP61" s="18"/>
      <c r="IQ61" s="18"/>
      <c r="IR61" s="18"/>
      <c r="IS61" s="18"/>
      <c r="IT61" s="18"/>
      <c r="IU61" s="18"/>
      <c r="IV61" s="18"/>
    </row>
    <row r="62" spans="1:256" ht="12.75">
      <c r="A62" s="29"/>
      <c r="B62" s="39"/>
      <c r="C62" s="39"/>
      <c r="D62" s="39"/>
      <c r="E62" s="39"/>
      <c r="F62" s="39"/>
      <c r="G62" s="39"/>
      <c r="H62" s="39"/>
      <c r="I62" s="39"/>
      <c r="J62" s="39"/>
      <c r="K62" s="39"/>
      <c r="L62" s="39"/>
      <c r="M62" s="39"/>
      <c r="N62" s="39"/>
      <c r="O62" s="39"/>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18"/>
      <c r="EW62" s="18"/>
      <c r="EX62" s="18"/>
      <c r="EY62" s="18"/>
      <c r="EZ62" s="18"/>
      <c r="FA62" s="18"/>
      <c r="FB62" s="18"/>
      <c r="FC62" s="18"/>
      <c r="FD62" s="18"/>
      <c r="FE62" s="18"/>
      <c r="FF62" s="18"/>
      <c r="FG62" s="18"/>
      <c r="FH62" s="18"/>
      <c r="FI62" s="18"/>
      <c r="FJ62" s="18"/>
      <c r="FK62" s="18"/>
      <c r="FL62" s="18"/>
      <c r="FM62" s="18"/>
      <c r="FN62" s="18"/>
      <c r="FO62" s="18"/>
      <c r="FP62" s="18"/>
      <c r="FQ62" s="18"/>
      <c r="FR62" s="18"/>
      <c r="FS62" s="18"/>
      <c r="FT62" s="18"/>
      <c r="FU62" s="18"/>
      <c r="FV62" s="18"/>
      <c r="FW62" s="18"/>
      <c r="FX62" s="18"/>
      <c r="FY62" s="18"/>
      <c r="FZ62" s="18"/>
      <c r="GA62" s="18"/>
      <c r="GB62" s="18"/>
      <c r="GC62" s="18"/>
      <c r="GD62" s="18"/>
      <c r="GE62" s="18"/>
      <c r="GF62" s="18"/>
      <c r="GG62" s="18"/>
      <c r="GH62" s="18"/>
      <c r="GI62" s="18"/>
      <c r="GJ62" s="18"/>
      <c r="GK62" s="18"/>
      <c r="GL62" s="18"/>
      <c r="GM62" s="18"/>
      <c r="GN62" s="18"/>
      <c r="GO62" s="18"/>
      <c r="GP62" s="18"/>
      <c r="GQ62" s="18"/>
      <c r="GR62" s="18"/>
      <c r="GS62" s="18"/>
      <c r="GT62" s="18"/>
      <c r="GU62" s="18"/>
      <c r="GV62" s="18"/>
      <c r="GW62" s="18"/>
      <c r="GX62" s="18"/>
      <c r="GY62" s="18"/>
      <c r="GZ62" s="18"/>
      <c r="HA62" s="18"/>
      <c r="HB62" s="18"/>
      <c r="HC62" s="18"/>
      <c r="HD62" s="18"/>
      <c r="HE62" s="18"/>
      <c r="HF62" s="18"/>
      <c r="HG62" s="18"/>
      <c r="HH62" s="18"/>
      <c r="HI62" s="18"/>
      <c r="HJ62" s="18"/>
      <c r="HK62" s="18"/>
      <c r="HL62" s="18"/>
      <c r="HM62" s="18"/>
      <c r="HN62" s="18"/>
      <c r="HO62" s="18"/>
      <c r="HP62" s="18"/>
      <c r="HQ62" s="18"/>
      <c r="HR62" s="18"/>
      <c r="HS62" s="18"/>
      <c r="HT62" s="18"/>
      <c r="HU62" s="18"/>
      <c r="HV62" s="18"/>
      <c r="HW62" s="18"/>
      <c r="HX62" s="18"/>
      <c r="HY62" s="18"/>
      <c r="HZ62" s="18"/>
      <c r="IA62" s="18"/>
      <c r="IB62" s="18"/>
      <c r="IC62" s="18"/>
      <c r="ID62" s="18"/>
      <c r="IE62" s="18"/>
      <c r="IF62" s="18"/>
      <c r="IG62" s="18"/>
      <c r="IH62" s="18"/>
      <c r="II62" s="18"/>
      <c r="IJ62" s="18"/>
      <c r="IK62" s="18"/>
      <c r="IL62" s="18"/>
      <c r="IM62" s="18"/>
      <c r="IN62" s="18"/>
      <c r="IO62" s="18"/>
      <c r="IP62" s="18"/>
      <c r="IQ62" s="18"/>
      <c r="IR62" s="18"/>
      <c r="IS62" s="18"/>
      <c r="IT62" s="18"/>
      <c r="IU62" s="18"/>
      <c r="IV62" s="18"/>
    </row>
    <row r="63" spans="1:256" ht="12.75">
      <c r="A63" s="29"/>
      <c r="B63" s="39"/>
      <c r="C63" s="39"/>
      <c r="D63" s="39"/>
      <c r="E63" s="39"/>
      <c r="F63" s="39"/>
      <c r="G63" s="39"/>
      <c r="H63" s="39"/>
      <c r="I63" s="39"/>
      <c r="J63" s="39"/>
      <c r="K63" s="39"/>
      <c r="L63" s="39"/>
      <c r="M63" s="39"/>
      <c r="N63" s="39"/>
      <c r="O63" s="39"/>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c r="GI63" s="18"/>
      <c r="GJ63" s="18"/>
      <c r="GK63" s="18"/>
      <c r="GL63" s="18"/>
      <c r="GM63" s="18"/>
      <c r="GN63" s="18"/>
      <c r="GO63" s="18"/>
      <c r="GP63" s="18"/>
      <c r="GQ63" s="18"/>
      <c r="GR63" s="18"/>
      <c r="GS63" s="18"/>
      <c r="GT63" s="18"/>
      <c r="GU63" s="18"/>
      <c r="GV63" s="18"/>
      <c r="GW63" s="18"/>
      <c r="GX63" s="18"/>
      <c r="GY63" s="18"/>
      <c r="GZ63" s="18"/>
      <c r="HA63" s="18"/>
      <c r="HB63" s="18"/>
      <c r="HC63" s="18"/>
      <c r="HD63" s="18"/>
      <c r="HE63" s="18"/>
      <c r="HF63" s="18"/>
      <c r="HG63" s="18"/>
      <c r="HH63" s="18"/>
      <c r="HI63" s="18"/>
      <c r="HJ63" s="18"/>
      <c r="HK63" s="18"/>
      <c r="HL63" s="18"/>
      <c r="HM63" s="18"/>
      <c r="HN63" s="18"/>
      <c r="HO63" s="18"/>
      <c r="HP63" s="18"/>
      <c r="HQ63" s="18"/>
      <c r="HR63" s="18"/>
      <c r="HS63" s="18"/>
      <c r="HT63" s="18"/>
      <c r="HU63" s="18"/>
      <c r="HV63" s="18"/>
      <c r="HW63" s="18"/>
      <c r="HX63" s="18"/>
      <c r="HY63" s="18"/>
      <c r="HZ63" s="18"/>
      <c r="IA63" s="18"/>
      <c r="IB63" s="18"/>
      <c r="IC63" s="18"/>
      <c r="ID63" s="18"/>
      <c r="IE63" s="18"/>
      <c r="IF63" s="18"/>
      <c r="IG63" s="18"/>
      <c r="IH63" s="18"/>
      <c r="II63" s="18"/>
      <c r="IJ63" s="18"/>
      <c r="IK63" s="18"/>
      <c r="IL63" s="18"/>
      <c r="IM63" s="18"/>
      <c r="IN63" s="18"/>
      <c r="IO63" s="18"/>
      <c r="IP63" s="18"/>
      <c r="IQ63" s="18"/>
      <c r="IR63" s="18"/>
      <c r="IS63" s="18"/>
      <c r="IT63" s="18"/>
      <c r="IU63" s="18"/>
      <c r="IV63" s="18"/>
    </row>
    <row r="64" spans="1:256" ht="12.75">
      <c r="A64" s="29"/>
      <c r="B64" s="39"/>
      <c r="C64" s="39"/>
      <c r="D64" s="39"/>
      <c r="E64" s="39"/>
      <c r="F64" s="39"/>
      <c r="G64" s="39"/>
      <c r="H64" s="39"/>
      <c r="I64" s="39"/>
      <c r="J64" s="39"/>
      <c r="K64" s="39"/>
      <c r="L64" s="39"/>
      <c r="M64" s="39"/>
      <c r="N64" s="39"/>
      <c r="O64" s="39"/>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c r="FB64" s="18"/>
      <c r="FC64" s="18"/>
      <c r="FD64" s="18"/>
      <c r="FE64" s="18"/>
      <c r="FF64" s="18"/>
      <c r="FG64" s="18"/>
      <c r="FH64" s="18"/>
      <c r="FI64" s="18"/>
      <c r="FJ64" s="18"/>
      <c r="FK64" s="18"/>
      <c r="FL64" s="18"/>
      <c r="FM64" s="18"/>
      <c r="FN64" s="18"/>
      <c r="FO64" s="18"/>
      <c r="FP64" s="18"/>
      <c r="FQ64" s="18"/>
      <c r="FR64" s="18"/>
      <c r="FS64" s="18"/>
      <c r="FT64" s="18"/>
      <c r="FU64" s="18"/>
      <c r="FV64" s="18"/>
      <c r="FW64" s="18"/>
      <c r="FX64" s="18"/>
      <c r="FY64" s="18"/>
      <c r="FZ64" s="18"/>
      <c r="GA64" s="18"/>
      <c r="GB64" s="18"/>
      <c r="GC64" s="18"/>
      <c r="GD64" s="18"/>
      <c r="GE64" s="18"/>
      <c r="GF64" s="18"/>
      <c r="GG64" s="18"/>
      <c r="GH64" s="18"/>
      <c r="GI64" s="18"/>
      <c r="GJ64" s="18"/>
      <c r="GK64" s="18"/>
      <c r="GL64" s="18"/>
      <c r="GM64" s="18"/>
      <c r="GN64" s="18"/>
      <c r="GO64" s="18"/>
      <c r="GP64" s="18"/>
      <c r="GQ64" s="18"/>
      <c r="GR64" s="18"/>
      <c r="GS64" s="18"/>
      <c r="GT64" s="18"/>
      <c r="GU64" s="18"/>
      <c r="GV64" s="18"/>
      <c r="GW64" s="18"/>
      <c r="GX64" s="18"/>
      <c r="GY64" s="18"/>
      <c r="GZ64" s="18"/>
      <c r="HA64" s="18"/>
      <c r="HB64" s="18"/>
      <c r="HC64" s="18"/>
      <c r="HD64" s="18"/>
      <c r="HE64" s="18"/>
      <c r="HF64" s="18"/>
      <c r="HG64" s="18"/>
      <c r="HH64" s="18"/>
      <c r="HI64" s="18"/>
      <c r="HJ64" s="18"/>
      <c r="HK64" s="18"/>
      <c r="HL64" s="18"/>
      <c r="HM64" s="18"/>
      <c r="HN64" s="18"/>
      <c r="HO64" s="18"/>
      <c r="HP64" s="18"/>
      <c r="HQ64" s="18"/>
      <c r="HR64" s="18"/>
      <c r="HS64" s="18"/>
      <c r="HT64" s="18"/>
      <c r="HU64" s="18"/>
      <c r="HV64" s="18"/>
      <c r="HW64" s="18"/>
      <c r="HX64" s="18"/>
      <c r="HY64" s="18"/>
      <c r="HZ64" s="18"/>
      <c r="IA64" s="18"/>
      <c r="IB64" s="18"/>
      <c r="IC64" s="18"/>
      <c r="ID64" s="18"/>
      <c r="IE64" s="18"/>
      <c r="IF64" s="18"/>
      <c r="IG64" s="18"/>
      <c r="IH64" s="18"/>
      <c r="II64" s="18"/>
      <c r="IJ64" s="18"/>
      <c r="IK64" s="18"/>
      <c r="IL64" s="18"/>
      <c r="IM64" s="18"/>
      <c r="IN64" s="18"/>
      <c r="IO64" s="18"/>
      <c r="IP64" s="18"/>
      <c r="IQ64" s="18"/>
      <c r="IR64" s="18"/>
      <c r="IS64" s="18"/>
      <c r="IT64" s="18"/>
      <c r="IU64" s="18"/>
      <c r="IV64" s="18"/>
    </row>
    <row r="65" spans="1:256" ht="12.75">
      <c r="A65" s="29"/>
      <c r="B65" s="39"/>
      <c r="C65" s="39"/>
      <c r="D65" s="39"/>
      <c r="E65" s="39"/>
      <c r="F65" s="39"/>
      <c r="G65" s="39"/>
      <c r="H65" s="39"/>
      <c r="I65" s="39"/>
      <c r="J65" s="39"/>
      <c r="K65" s="39"/>
      <c r="L65" s="39"/>
      <c r="M65" s="39"/>
      <c r="N65" s="39"/>
      <c r="O65" s="39"/>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c r="GI65" s="18"/>
      <c r="GJ65" s="18"/>
      <c r="GK65" s="18"/>
      <c r="GL65" s="18"/>
      <c r="GM65" s="18"/>
      <c r="GN65" s="18"/>
      <c r="GO65" s="18"/>
      <c r="GP65" s="18"/>
      <c r="GQ65" s="18"/>
      <c r="GR65" s="18"/>
      <c r="GS65" s="18"/>
      <c r="GT65" s="18"/>
      <c r="GU65" s="18"/>
      <c r="GV65" s="18"/>
      <c r="GW65" s="18"/>
      <c r="GX65" s="18"/>
      <c r="GY65" s="18"/>
      <c r="GZ65" s="18"/>
      <c r="HA65" s="18"/>
      <c r="HB65" s="18"/>
      <c r="HC65" s="18"/>
      <c r="HD65" s="18"/>
      <c r="HE65" s="18"/>
      <c r="HF65" s="18"/>
      <c r="HG65" s="18"/>
      <c r="HH65" s="18"/>
      <c r="HI65" s="18"/>
      <c r="HJ65" s="18"/>
      <c r="HK65" s="18"/>
      <c r="HL65" s="18"/>
      <c r="HM65" s="18"/>
      <c r="HN65" s="18"/>
      <c r="HO65" s="18"/>
      <c r="HP65" s="18"/>
      <c r="HQ65" s="18"/>
      <c r="HR65" s="18"/>
      <c r="HS65" s="18"/>
      <c r="HT65" s="18"/>
      <c r="HU65" s="18"/>
      <c r="HV65" s="18"/>
      <c r="HW65" s="18"/>
      <c r="HX65" s="18"/>
      <c r="HY65" s="18"/>
      <c r="HZ65" s="18"/>
      <c r="IA65" s="18"/>
      <c r="IB65" s="18"/>
      <c r="IC65" s="18"/>
      <c r="ID65" s="18"/>
      <c r="IE65" s="18"/>
      <c r="IF65" s="18"/>
      <c r="IG65" s="18"/>
      <c r="IH65" s="18"/>
      <c r="II65" s="18"/>
      <c r="IJ65" s="18"/>
      <c r="IK65" s="18"/>
      <c r="IL65" s="18"/>
      <c r="IM65" s="18"/>
      <c r="IN65" s="18"/>
      <c r="IO65" s="18"/>
      <c r="IP65" s="18"/>
      <c r="IQ65" s="18"/>
      <c r="IR65" s="18"/>
      <c r="IS65" s="18"/>
      <c r="IT65" s="18"/>
      <c r="IU65" s="18"/>
      <c r="IV65" s="18"/>
    </row>
    <row r="66" spans="1:256" ht="12.75">
      <c r="A66" s="29"/>
      <c r="B66" s="39"/>
      <c r="C66" s="39"/>
      <c r="D66" s="39"/>
      <c r="E66" s="39"/>
      <c r="F66" s="39"/>
      <c r="G66" s="39"/>
      <c r="H66" s="39"/>
      <c r="I66" s="39"/>
      <c r="J66" s="39"/>
      <c r="K66" s="39"/>
      <c r="L66" s="39"/>
      <c r="M66" s="39"/>
      <c r="N66" s="39"/>
      <c r="O66" s="39"/>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c r="FB66" s="18"/>
      <c r="FC66" s="18"/>
      <c r="FD66" s="18"/>
      <c r="FE66" s="18"/>
      <c r="FF66" s="18"/>
      <c r="FG66" s="18"/>
      <c r="FH66" s="18"/>
      <c r="FI66" s="18"/>
      <c r="FJ66" s="18"/>
      <c r="FK66" s="18"/>
      <c r="FL66" s="18"/>
      <c r="FM66" s="18"/>
      <c r="FN66" s="18"/>
      <c r="FO66" s="18"/>
      <c r="FP66" s="18"/>
      <c r="FQ66" s="18"/>
      <c r="FR66" s="18"/>
      <c r="FS66" s="18"/>
      <c r="FT66" s="18"/>
      <c r="FU66" s="18"/>
      <c r="FV66" s="18"/>
      <c r="FW66" s="18"/>
      <c r="FX66" s="18"/>
      <c r="FY66" s="18"/>
      <c r="FZ66" s="18"/>
      <c r="GA66" s="18"/>
      <c r="GB66" s="18"/>
      <c r="GC66" s="18"/>
      <c r="GD66" s="18"/>
      <c r="GE66" s="18"/>
      <c r="GF66" s="18"/>
      <c r="GG66" s="18"/>
      <c r="GH66" s="18"/>
      <c r="GI66" s="18"/>
      <c r="GJ66" s="18"/>
      <c r="GK66" s="18"/>
      <c r="GL66" s="18"/>
      <c r="GM66" s="18"/>
      <c r="GN66" s="18"/>
      <c r="GO66" s="18"/>
      <c r="GP66" s="18"/>
      <c r="GQ66" s="18"/>
      <c r="GR66" s="18"/>
      <c r="GS66" s="18"/>
      <c r="GT66" s="18"/>
      <c r="GU66" s="18"/>
      <c r="GV66" s="18"/>
      <c r="GW66" s="18"/>
      <c r="GX66" s="18"/>
      <c r="GY66" s="18"/>
      <c r="GZ66" s="18"/>
      <c r="HA66" s="18"/>
      <c r="HB66" s="18"/>
      <c r="HC66" s="18"/>
      <c r="HD66" s="18"/>
      <c r="HE66" s="18"/>
      <c r="HF66" s="18"/>
      <c r="HG66" s="18"/>
      <c r="HH66" s="18"/>
      <c r="HI66" s="18"/>
      <c r="HJ66" s="18"/>
      <c r="HK66" s="18"/>
      <c r="HL66" s="18"/>
      <c r="HM66" s="18"/>
      <c r="HN66" s="18"/>
      <c r="HO66" s="18"/>
      <c r="HP66" s="18"/>
      <c r="HQ66" s="18"/>
      <c r="HR66" s="18"/>
      <c r="HS66" s="18"/>
      <c r="HT66" s="18"/>
      <c r="HU66" s="18"/>
      <c r="HV66" s="18"/>
      <c r="HW66" s="18"/>
      <c r="HX66" s="18"/>
      <c r="HY66" s="18"/>
      <c r="HZ66" s="18"/>
      <c r="IA66" s="18"/>
      <c r="IB66" s="18"/>
      <c r="IC66" s="18"/>
      <c r="ID66" s="18"/>
      <c r="IE66" s="18"/>
      <c r="IF66" s="18"/>
      <c r="IG66" s="18"/>
      <c r="IH66" s="18"/>
      <c r="II66" s="18"/>
      <c r="IJ66" s="18"/>
      <c r="IK66" s="18"/>
      <c r="IL66" s="18"/>
      <c r="IM66" s="18"/>
      <c r="IN66" s="18"/>
      <c r="IO66" s="18"/>
      <c r="IP66" s="18"/>
      <c r="IQ66" s="18"/>
      <c r="IR66" s="18"/>
      <c r="IS66" s="18"/>
      <c r="IT66" s="18"/>
      <c r="IU66" s="18"/>
      <c r="IV66" s="18"/>
    </row>
    <row r="67" spans="1:256" ht="12.75">
      <c r="A67" s="29"/>
      <c r="B67" s="39"/>
      <c r="C67" s="39"/>
      <c r="D67" s="39"/>
      <c r="E67" s="39"/>
      <c r="F67" s="39"/>
      <c r="G67" s="39"/>
      <c r="H67" s="39"/>
      <c r="I67" s="39"/>
      <c r="J67" s="39"/>
      <c r="K67" s="39"/>
      <c r="L67" s="39"/>
      <c r="M67" s="39"/>
      <c r="N67" s="39"/>
      <c r="O67" s="39"/>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18"/>
      <c r="EW67" s="18"/>
      <c r="EX67" s="18"/>
      <c r="EY67" s="18"/>
      <c r="EZ67" s="18"/>
      <c r="FA67" s="18"/>
      <c r="FB67" s="18"/>
      <c r="FC67" s="18"/>
      <c r="FD67" s="18"/>
      <c r="FE67" s="18"/>
      <c r="FF67" s="18"/>
      <c r="FG67" s="18"/>
      <c r="FH67" s="18"/>
      <c r="FI67" s="18"/>
      <c r="FJ67" s="18"/>
      <c r="FK67" s="18"/>
      <c r="FL67" s="18"/>
      <c r="FM67" s="18"/>
      <c r="FN67" s="18"/>
      <c r="FO67" s="18"/>
      <c r="FP67" s="18"/>
      <c r="FQ67" s="18"/>
      <c r="FR67" s="18"/>
      <c r="FS67" s="18"/>
      <c r="FT67" s="18"/>
      <c r="FU67" s="18"/>
      <c r="FV67" s="18"/>
      <c r="FW67" s="18"/>
      <c r="FX67" s="18"/>
      <c r="FY67" s="18"/>
      <c r="FZ67" s="18"/>
      <c r="GA67" s="18"/>
      <c r="GB67" s="18"/>
      <c r="GC67" s="18"/>
      <c r="GD67" s="18"/>
      <c r="GE67" s="18"/>
      <c r="GF67" s="18"/>
      <c r="GG67" s="18"/>
      <c r="GH67" s="18"/>
      <c r="GI67" s="18"/>
      <c r="GJ67" s="18"/>
      <c r="GK67" s="18"/>
      <c r="GL67" s="18"/>
      <c r="GM67" s="18"/>
      <c r="GN67" s="18"/>
      <c r="GO67" s="18"/>
      <c r="GP67" s="18"/>
      <c r="GQ67" s="18"/>
      <c r="GR67" s="18"/>
      <c r="GS67" s="18"/>
      <c r="GT67" s="18"/>
      <c r="GU67" s="18"/>
      <c r="GV67" s="18"/>
      <c r="GW67" s="18"/>
      <c r="GX67" s="18"/>
      <c r="GY67" s="18"/>
      <c r="GZ67" s="18"/>
      <c r="HA67" s="18"/>
      <c r="HB67" s="18"/>
      <c r="HC67" s="18"/>
      <c r="HD67" s="18"/>
      <c r="HE67" s="18"/>
      <c r="HF67" s="18"/>
      <c r="HG67" s="18"/>
      <c r="HH67" s="18"/>
      <c r="HI67" s="18"/>
      <c r="HJ67" s="18"/>
      <c r="HK67" s="18"/>
      <c r="HL67" s="18"/>
      <c r="HM67" s="18"/>
      <c r="HN67" s="18"/>
      <c r="HO67" s="18"/>
      <c r="HP67" s="18"/>
      <c r="HQ67" s="18"/>
      <c r="HR67" s="18"/>
      <c r="HS67" s="18"/>
      <c r="HT67" s="18"/>
      <c r="HU67" s="18"/>
      <c r="HV67" s="18"/>
      <c r="HW67" s="18"/>
      <c r="HX67" s="18"/>
      <c r="HY67" s="18"/>
      <c r="HZ67" s="18"/>
      <c r="IA67" s="18"/>
      <c r="IB67" s="18"/>
      <c r="IC67" s="18"/>
      <c r="ID67" s="18"/>
      <c r="IE67" s="18"/>
      <c r="IF67" s="18"/>
      <c r="IG67" s="18"/>
      <c r="IH67" s="18"/>
      <c r="II67" s="18"/>
      <c r="IJ67" s="18"/>
      <c r="IK67" s="18"/>
      <c r="IL67" s="18"/>
      <c r="IM67" s="18"/>
      <c r="IN67" s="18"/>
      <c r="IO67" s="18"/>
      <c r="IP67" s="18"/>
      <c r="IQ67" s="18"/>
      <c r="IR67" s="18"/>
      <c r="IS67" s="18"/>
      <c r="IT67" s="18"/>
      <c r="IU67" s="18"/>
      <c r="IV67" s="18"/>
    </row>
    <row r="68" spans="1:256" ht="12.75">
      <c r="A68" s="29"/>
      <c r="B68" s="39"/>
      <c r="C68" s="39"/>
      <c r="D68" s="39"/>
      <c r="E68" s="39"/>
      <c r="F68" s="39"/>
      <c r="G68" s="39"/>
      <c r="H68" s="39"/>
      <c r="I68" s="39"/>
      <c r="J68" s="39"/>
      <c r="K68" s="39"/>
      <c r="L68" s="39"/>
      <c r="M68" s="39"/>
      <c r="N68" s="39"/>
      <c r="O68" s="39"/>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18"/>
      <c r="EW68" s="18"/>
      <c r="EX68" s="18"/>
      <c r="EY68" s="18"/>
      <c r="EZ68" s="18"/>
      <c r="FA68" s="18"/>
      <c r="FB68" s="18"/>
      <c r="FC68" s="18"/>
      <c r="FD68" s="18"/>
      <c r="FE68" s="18"/>
      <c r="FF68" s="18"/>
      <c r="FG68" s="18"/>
      <c r="FH68" s="18"/>
      <c r="FI68" s="18"/>
      <c r="FJ68" s="18"/>
      <c r="FK68" s="18"/>
      <c r="FL68" s="18"/>
      <c r="FM68" s="18"/>
      <c r="FN68" s="18"/>
      <c r="FO68" s="18"/>
      <c r="FP68" s="18"/>
      <c r="FQ68" s="18"/>
      <c r="FR68" s="18"/>
      <c r="FS68" s="18"/>
      <c r="FT68" s="18"/>
      <c r="FU68" s="18"/>
      <c r="FV68" s="18"/>
      <c r="FW68" s="18"/>
      <c r="FX68" s="18"/>
      <c r="FY68" s="18"/>
      <c r="FZ68" s="18"/>
      <c r="GA68" s="18"/>
      <c r="GB68" s="18"/>
      <c r="GC68" s="18"/>
      <c r="GD68" s="18"/>
      <c r="GE68" s="18"/>
      <c r="GF68" s="18"/>
      <c r="GG68" s="18"/>
      <c r="GH68" s="18"/>
      <c r="GI68" s="18"/>
      <c r="GJ68" s="18"/>
      <c r="GK68" s="18"/>
      <c r="GL68" s="18"/>
      <c r="GM68" s="18"/>
      <c r="GN68" s="18"/>
      <c r="GO68" s="18"/>
      <c r="GP68" s="18"/>
      <c r="GQ68" s="18"/>
      <c r="GR68" s="18"/>
      <c r="GS68" s="18"/>
      <c r="GT68" s="18"/>
      <c r="GU68" s="18"/>
      <c r="GV68" s="18"/>
      <c r="GW68" s="18"/>
      <c r="GX68" s="18"/>
      <c r="GY68" s="18"/>
      <c r="GZ68" s="18"/>
      <c r="HA68" s="18"/>
      <c r="HB68" s="18"/>
      <c r="HC68" s="18"/>
      <c r="HD68" s="18"/>
      <c r="HE68" s="18"/>
      <c r="HF68" s="18"/>
      <c r="HG68" s="18"/>
      <c r="HH68" s="18"/>
      <c r="HI68" s="18"/>
      <c r="HJ68" s="18"/>
      <c r="HK68" s="18"/>
      <c r="HL68" s="18"/>
      <c r="HM68" s="18"/>
      <c r="HN68" s="18"/>
      <c r="HO68" s="18"/>
      <c r="HP68" s="18"/>
      <c r="HQ68" s="18"/>
      <c r="HR68" s="18"/>
      <c r="HS68" s="18"/>
      <c r="HT68" s="18"/>
      <c r="HU68" s="18"/>
      <c r="HV68" s="18"/>
      <c r="HW68" s="18"/>
      <c r="HX68" s="18"/>
      <c r="HY68" s="18"/>
      <c r="HZ68" s="18"/>
      <c r="IA68" s="18"/>
      <c r="IB68" s="18"/>
      <c r="IC68" s="18"/>
      <c r="ID68" s="18"/>
      <c r="IE68" s="18"/>
      <c r="IF68" s="18"/>
      <c r="IG68" s="18"/>
      <c r="IH68" s="18"/>
      <c r="II68" s="18"/>
      <c r="IJ68" s="18"/>
      <c r="IK68" s="18"/>
      <c r="IL68" s="18"/>
      <c r="IM68" s="18"/>
      <c r="IN68" s="18"/>
      <c r="IO68" s="18"/>
      <c r="IP68" s="18"/>
      <c r="IQ68" s="18"/>
      <c r="IR68" s="18"/>
      <c r="IS68" s="18"/>
      <c r="IT68" s="18"/>
      <c r="IU68" s="18"/>
      <c r="IV68" s="18"/>
    </row>
    <row r="69" spans="1:256" ht="12.75">
      <c r="A69" s="29"/>
      <c r="B69" s="39"/>
      <c r="C69" s="39"/>
      <c r="D69" s="39"/>
      <c r="E69" s="39"/>
      <c r="F69" s="39"/>
      <c r="G69" s="39"/>
      <c r="H69" s="39"/>
      <c r="I69" s="39"/>
      <c r="J69" s="39"/>
      <c r="K69" s="39"/>
      <c r="L69" s="39"/>
      <c r="M69" s="39"/>
      <c r="N69" s="39"/>
      <c r="O69" s="39"/>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18"/>
      <c r="EW69" s="18"/>
      <c r="EX69" s="18"/>
      <c r="EY69" s="18"/>
      <c r="EZ69" s="18"/>
      <c r="FA69" s="18"/>
      <c r="FB69" s="18"/>
      <c r="FC69" s="18"/>
      <c r="FD69" s="18"/>
      <c r="FE69" s="18"/>
      <c r="FF69" s="18"/>
      <c r="FG69" s="18"/>
      <c r="FH69" s="18"/>
      <c r="FI69" s="18"/>
      <c r="FJ69" s="18"/>
      <c r="FK69" s="18"/>
      <c r="FL69" s="18"/>
      <c r="FM69" s="18"/>
      <c r="FN69" s="18"/>
      <c r="FO69" s="18"/>
      <c r="FP69" s="18"/>
      <c r="FQ69" s="18"/>
      <c r="FR69" s="18"/>
      <c r="FS69" s="18"/>
      <c r="FT69" s="18"/>
      <c r="FU69" s="18"/>
      <c r="FV69" s="18"/>
      <c r="FW69" s="18"/>
      <c r="FX69" s="18"/>
      <c r="FY69" s="18"/>
      <c r="FZ69" s="18"/>
      <c r="GA69" s="18"/>
      <c r="GB69" s="18"/>
      <c r="GC69" s="18"/>
      <c r="GD69" s="18"/>
      <c r="GE69" s="18"/>
      <c r="GF69" s="18"/>
      <c r="GG69" s="18"/>
      <c r="GH69" s="18"/>
      <c r="GI69" s="18"/>
      <c r="GJ69" s="18"/>
      <c r="GK69" s="18"/>
      <c r="GL69" s="18"/>
      <c r="GM69" s="18"/>
      <c r="GN69" s="18"/>
      <c r="GO69" s="18"/>
      <c r="GP69" s="18"/>
      <c r="GQ69" s="18"/>
      <c r="GR69" s="18"/>
      <c r="GS69" s="18"/>
      <c r="GT69" s="18"/>
      <c r="GU69" s="18"/>
      <c r="GV69" s="18"/>
      <c r="GW69" s="18"/>
      <c r="GX69" s="18"/>
      <c r="GY69" s="18"/>
      <c r="GZ69" s="18"/>
      <c r="HA69" s="18"/>
      <c r="HB69" s="18"/>
      <c r="HC69" s="18"/>
      <c r="HD69" s="18"/>
      <c r="HE69" s="18"/>
      <c r="HF69" s="18"/>
      <c r="HG69" s="18"/>
      <c r="HH69" s="18"/>
      <c r="HI69" s="18"/>
      <c r="HJ69" s="18"/>
      <c r="HK69" s="18"/>
      <c r="HL69" s="18"/>
      <c r="HM69" s="18"/>
      <c r="HN69" s="18"/>
      <c r="HO69" s="18"/>
      <c r="HP69" s="18"/>
      <c r="HQ69" s="18"/>
      <c r="HR69" s="18"/>
      <c r="HS69" s="18"/>
      <c r="HT69" s="18"/>
      <c r="HU69" s="18"/>
      <c r="HV69" s="18"/>
      <c r="HW69" s="18"/>
      <c r="HX69" s="18"/>
      <c r="HY69" s="18"/>
      <c r="HZ69" s="18"/>
      <c r="IA69" s="18"/>
      <c r="IB69" s="18"/>
      <c r="IC69" s="18"/>
      <c r="ID69" s="18"/>
      <c r="IE69" s="18"/>
      <c r="IF69" s="18"/>
      <c r="IG69" s="18"/>
      <c r="IH69" s="18"/>
      <c r="II69" s="18"/>
      <c r="IJ69" s="18"/>
      <c r="IK69" s="18"/>
      <c r="IL69" s="18"/>
      <c r="IM69" s="18"/>
      <c r="IN69" s="18"/>
      <c r="IO69" s="18"/>
      <c r="IP69" s="18"/>
      <c r="IQ69" s="18"/>
      <c r="IR69" s="18"/>
      <c r="IS69" s="18"/>
      <c r="IT69" s="18"/>
      <c r="IU69" s="18"/>
      <c r="IV69" s="18"/>
    </row>
    <row r="70" spans="1:256" ht="12.75">
      <c r="A70" s="29"/>
      <c r="B70" s="39"/>
      <c r="C70" s="39"/>
      <c r="D70" s="39"/>
      <c r="E70" s="39"/>
      <c r="F70" s="39"/>
      <c r="G70" s="39"/>
      <c r="H70" s="39"/>
      <c r="I70" s="39"/>
      <c r="J70" s="39"/>
      <c r="K70" s="39"/>
      <c r="L70" s="39"/>
      <c r="M70" s="39"/>
      <c r="N70" s="39"/>
      <c r="O70" s="39"/>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18"/>
      <c r="EH70" s="18"/>
      <c r="EI70" s="18"/>
      <c r="EJ70" s="18"/>
      <c r="EK70" s="18"/>
      <c r="EL70" s="18"/>
      <c r="EM70" s="18"/>
      <c r="EN70" s="18"/>
      <c r="EO70" s="18"/>
      <c r="EP70" s="18"/>
      <c r="EQ70" s="18"/>
      <c r="ER70" s="18"/>
      <c r="ES70" s="18"/>
      <c r="ET70" s="18"/>
      <c r="EU70" s="18"/>
      <c r="EV70" s="18"/>
      <c r="EW70" s="18"/>
      <c r="EX70" s="18"/>
      <c r="EY70" s="18"/>
      <c r="EZ70" s="18"/>
      <c r="FA70" s="18"/>
      <c r="FB70" s="18"/>
      <c r="FC70" s="18"/>
      <c r="FD70" s="18"/>
      <c r="FE70" s="18"/>
      <c r="FF70" s="18"/>
      <c r="FG70" s="18"/>
      <c r="FH70" s="18"/>
      <c r="FI70" s="18"/>
      <c r="FJ70" s="18"/>
      <c r="FK70" s="18"/>
      <c r="FL70" s="18"/>
      <c r="FM70" s="18"/>
      <c r="FN70" s="18"/>
      <c r="FO70" s="18"/>
      <c r="FP70" s="18"/>
      <c r="FQ70" s="18"/>
      <c r="FR70" s="18"/>
      <c r="FS70" s="18"/>
      <c r="FT70" s="18"/>
      <c r="FU70" s="18"/>
      <c r="FV70" s="18"/>
      <c r="FW70" s="18"/>
      <c r="FX70" s="18"/>
      <c r="FY70" s="18"/>
      <c r="FZ70" s="18"/>
      <c r="GA70" s="18"/>
      <c r="GB70" s="18"/>
      <c r="GC70" s="18"/>
      <c r="GD70" s="18"/>
      <c r="GE70" s="18"/>
      <c r="GF70" s="18"/>
      <c r="GG70" s="18"/>
      <c r="GH70" s="18"/>
      <c r="GI70" s="18"/>
      <c r="GJ70" s="18"/>
      <c r="GK70" s="18"/>
      <c r="GL70" s="18"/>
      <c r="GM70" s="18"/>
      <c r="GN70" s="18"/>
      <c r="GO70" s="18"/>
      <c r="GP70" s="18"/>
      <c r="GQ70" s="18"/>
      <c r="GR70" s="18"/>
      <c r="GS70" s="18"/>
      <c r="GT70" s="18"/>
      <c r="GU70" s="18"/>
      <c r="GV70" s="18"/>
      <c r="GW70" s="18"/>
      <c r="GX70" s="18"/>
      <c r="GY70" s="18"/>
      <c r="GZ70" s="18"/>
      <c r="HA70" s="18"/>
      <c r="HB70" s="18"/>
      <c r="HC70" s="18"/>
      <c r="HD70" s="18"/>
      <c r="HE70" s="18"/>
      <c r="HF70" s="18"/>
      <c r="HG70" s="18"/>
      <c r="HH70" s="18"/>
      <c r="HI70" s="18"/>
      <c r="HJ70" s="18"/>
      <c r="HK70" s="18"/>
      <c r="HL70" s="18"/>
      <c r="HM70" s="18"/>
      <c r="HN70" s="18"/>
      <c r="HO70" s="18"/>
      <c r="HP70" s="18"/>
      <c r="HQ70" s="18"/>
      <c r="HR70" s="18"/>
      <c r="HS70" s="18"/>
      <c r="HT70" s="18"/>
      <c r="HU70" s="18"/>
      <c r="HV70" s="18"/>
      <c r="HW70" s="18"/>
      <c r="HX70" s="18"/>
      <c r="HY70" s="18"/>
      <c r="HZ70" s="18"/>
      <c r="IA70" s="18"/>
      <c r="IB70" s="18"/>
      <c r="IC70" s="18"/>
      <c r="ID70" s="18"/>
      <c r="IE70" s="18"/>
      <c r="IF70" s="18"/>
      <c r="IG70" s="18"/>
      <c r="IH70" s="18"/>
      <c r="II70" s="18"/>
      <c r="IJ70" s="18"/>
      <c r="IK70" s="18"/>
      <c r="IL70" s="18"/>
      <c r="IM70" s="18"/>
      <c r="IN70" s="18"/>
      <c r="IO70" s="18"/>
      <c r="IP70" s="18"/>
      <c r="IQ70" s="18"/>
      <c r="IR70" s="18"/>
      <c r="IS70" s="18"/>
      <c r="IT70" s="18"/>
      <c r="IU70" s="18"/>
      <c r="IV70" s="18"/>
    </row>
    <row r="71" spans="1:256" ht="12.75">
      <c r="A71" s="29"/>
      <c r="B71" s="39"/>
      <c r="C71" s="39"/>
      <c r="D71" s="39"/>
      <c r="E71" s="39"/>
      <c r="F71" s="39"/>
      <c r="G71" s="39"/>
      <c r="H71" s="39"/>
      <c r="I71" s="39"/>
      <c r="J71" s="39"/>
      <c r="K71" s="39"/>
      <c r="L71" s="39"/>
      <c r="M71" s="39"/>
      <c r="N71" s="39"/>
      <c r="O71" s="39"/>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c r="EL71" s="18"/>
      <c r="EM71" s="18"/>
      <c r="EN71" s="18"/>
      <c r="EO71" s="18"/>
      <c r="EP71" s="18"/>
      <c r="EQ71" s="18"/>
      <c r="ER71" s="18"/>
      <c r="ES71" s="18"/>
      <c r="ET71" s="18"/>
      <c r="EU71" s="18"/>
      <c r="EV71" s="18"/>
      <c r="EW71" s="18"/>
      <c r="EX71" s="18"/>
      <c r="EY71" s="18"/>
      <c r="EZ71" s="18"/>
      <c r="FA71" s="18"/>
      <c r="FB71" s="18"/>
      <c r="FC71" s="18"/>
      <c r="FD71" s="18"/>
      <c r="FE71" s="18"/>
      <c r="FF71" s="18"/>
      <c r="FG71" s="18"/>
      <c r="FH71" s="18"/>
      <c r="FI71" s="18"/>
      <c r="FJ71" s="18"/>
      <c r="FK71" s="18"/>
      <c r="FL71" s="18"/>
      <c r="FM71" s="18"/>
      <c r="FN71" s="18"/>
      <c r="FO71" s="18"/>
      <c r="FP71" s="18"/>
      <c r="FQ71" s="18"/>
      <c r="FR71" s="18"/>
      <c r="FS71" s="18"/>
      <c r="FT71" s="18"/>
      <c r="FU71" s="18"/>
      <c r="FV71" s="18"/>
      <c r="FW71" s="18"/>
      <c r="FX71" s="18"/>
      <c r="FY71" s="18"/>
      <c r="FZ71" s="18"/>
      <c r="GA71" s="18"/>
      <c r="GB71" s="18"/>
      <c r="GC71" s="18"/>
      <c r="GD71" s="18"/>
      <c r="GE71" s="18"/>
      <c r="GF71" s="18"/>
      <c r="GG71" s="18"/>
      <c r="GH71" s="18"/>
      <c r="GI71" s="18"/>
      <c r="GJ71" s="18"/>
      <c r="GK71" s="18"/>
      <c r="GL71" s="18"/>
      <c r="GM71" s="18"/>
      <c r="GN71" s="18"/>
      <c r="GO71" s="18"/>
      <c r="GP71" s="18"/>
      <c r="GQ71" s="18"/>
      <c r="GR71" s="18"/>
      <c r="GS71" s="18"/>
      <c r="GT71" s="18"/>
      <c r="GU71" s="18"/>
      <c r="GV71" s="18"/>
      <c r="GW71" s="18"/>
      <c r="GX71" s="18"/>
      <c r="GY71" s="18"/>
      <c r="GZ71" s="18"/>
      <c r="HA71" s="18"/>
      <c r="HB71" s="18"/>
      <c r="HC71" s="18"/>
      <c r="HD71" s="18"/>
      <c r="HE71" s="18"/>
      <c r="HF71" s="18"/>
      <c r="HG71" s="18"/>
      <c r="HH71" s="18"/>
      <c r="HI71" s="18"/>
      <c r="HJ71" s="18"/>
      <c r="HK71" s="18"/>
      <c r="HL71" s="18"/>
      <c r="HM71" s="18"/>
      <c r="HN71" s="18"/>
      <c r="HO71" s="18"/>
      <c r="HP71" s="18"/>
      <c r="HQ71" s="18"/>
      <c r="HR71" s="18"/>
      <c r="HS71" s="18"/>
      <c r="HT71" s="18"/>
      <c r="HU71" s="18"/>
      <c r="HV71" s="18"/>
      <c r="HW71" s="18"/>
      <c r="HX71" s="18"/>
      <c r="HY71" s="18"/>
      <c r="HZ71" s="18"/>
      <c r="IA71" s="18"/>
      <c r="IB71" s="18"/>
      <c r="IC71" s="18"/>
      <c r="ID71" s="18"/>
      <c r="IE71" s="18"/>
      <c r="IF71" s="18"/>
      <c r="IG71" s="18"/>
      <c r="IH71" s="18"/>
      <c r="II71" s="18"/>
      <c r="IJ71" s="18"/>
      <c r="IK71" s="18"/>
      <c r="IL71" s="18"/>
      <c r="IM71" s="18"/>
      <c r="IN71" s="18"/>
      <c r="IO71" s="18"/>
      <c r="IP71" s="18"/>
      <c r="IQ71" s="18"/>
      <c r="IR71" s="18"/>
      <c r="IS71" s="18"/>
      <c r="IT71" s="18"/>
      <c r="IU71" s="18"/>
      <c r="IV71" s="18"/>
    </row>
    <row r="72" spans="1:256" ht="12.75">
      <c r="A72" s="29"/>
      <c r="B72" s="39"/>
      <c r="C72" s="39"/>
      <c r="D72" s="39"/>
      <c r="E72" s="39"/>
      <c r="F72" s="39"/>
      <c r="G72" s="39"/>
      <c r="H72" s="39"/>
      <c r="I72" s="39"/>
      <c r="J72" s="39"/>
      <c r="K72" s="39"/>
      <c r="L72" s="39"/>
      <c r="M72" s="39"/>
      <c r="N72" s="39"/>
      <c r="O72" s="39"/>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18"/>
      <c r="EW72" s="18"/>
      <c r="EX72" s="18"/>
      <c r="EY72" s="18"/>
      <c r="EZ72" s="18"/>
      <c r="FA72" s="18"/>
      <c r="FB72" s="18"/>
      <c r="FC72" s="18"/>
      <c r="FD72" s="18"/>
      <c r="FE72" s="18"/>
      <c r="FF72" s="18"/>
      <c r="FG72" s="18"/>
      <c r="FH72" s="18"/>
      <c r="FI72" s="18"/>
      <c r="FJ72" s="18"/>
      <c r="FK72" s="18"/>
      <c r="FL72" s="18"/>
      <c r="FM72" s="18"/>
      <c r="FN72" s="18"/>
      <c r="FO72" s="18"/>
      <c r="FP72" s="18"/>
      <c r="FQ72" s="18"/>
      <c r="FR72" s="18"/>
      <c r="FS72" s="18"/>
      <c r="FT72" s="18"/>
      <c r="FU72" s="18"/>
      <c r="FV72" s="18"/>
      <c r="FW72" s="18"/>
      <c r="FX72" s="18"/>
      <c r="FY72" s="18"/>
      <c r="FZ72" s="18"/>
      <c r="GA72" s="18"/>
      <c r="GB72" s="18"/>
      <c r="GC72" s="18"/>
      <c r="GD72" s="18"/>
      <c r="GE72" s="18"/>
      <c r="GF72" s="18"/>
      <c r="GG72" s="18"/>
      <c r="GH72" s="18"/>
      <c r="GI72" s="18"/>
      <c r="GJ72" s="18"/>
      <c r="GK72" s="18"/>
      <c r="GL72" s="18"/>
      <c r="GM72" s="18"/>
      <c r="GN72" s="18"/>
      <c r="GO72" s="18"/>
      <c r="GP72" s="18"/>
      <c r="GQ72" s="18"/>
      <c r="GR72" s="18"/>
      <c r="GS72" s="18"/>
      <c r="GT72" s="18"/>
      <c r="GU72" s="18"/>
      <c r="GV72" s="18"/>
      <c r="GW72" s="18"/>
      <c r="GX72" s="18"/>
      <c r="GY72" s="18"/>
      <c r="GZ72" s="18"/>
      <c r="HA72" s="18"/>
      <c r="HB72" s="18"/>
      <c r="HC72" s="18"/>
      <c r="HD72" s="18"/>
      <c r="HE72" s="18"/>
      <c r="HF72" s="18"/>
      <c r="HG72" s="18"/>
      <c r="HH72" s="18"/>
      <c r="HI72" s="18"/>
      <c r="HJ72" s="18"/>
      <c r="HK72" s="18"/>
      <c r="HL72" s="18"/>
      <c r="HM72" s="18"/>
      <c r="HN72" s="18"/>
      <c r="HO72" s="18"/>
      <c r="HP72" s="18"/>
      <c r="HQ72" s="18"/>
      <c r="HR72" s="18"/>
      <c r="HS72" s="18"/>
      <c r="HT72" s="18"/>
      <c r="HU72" s="18"/>
      <c r="HV72" s="18"/>
      <c r="HW72" s="18"/>
      <c r="HX72" s="18"/>
      <c r="HY72" s="18"/>
      <c r="HZ72" s="18"/>
      <c r="IA72" s="18"/>
      <c r="IB72" s="18"/>
      <c r="IC72" s="18"/>
      <c r="ID72" s="18"/>
      <c r="IE72" s="18"/>
      <c r="IF72" s="18"/>
      <c r="IG72" s="18"/>
      <c r="IH72" s="18"/>
      <c r="II72" s="18"/>
      <c r="IJ72" s="18"/>
      <c r="IK72" s="18"/>
      <c r="IL72" s="18"/>
      <c r="IM72" s="18"/>
      <c r="IN72" s="18"/>
      <c r="IO72" s="18"/>
      <c r="IP72" s="18"/>
      <c r="IQ72" s="18"/>
      <c r="IR72" s="18"/>
      <c r="IS72" s="18"/>
      <c r="IT72" s="18"/>
      <c r="IU72" s="18"/>
      <c r="IV72" s="18"/>
    </row>
    <row r="73" spans="1:256" ht="12.75">
      <c r="A73" s="29"/>
      <c r="B73" s="39"/>
      <c r="C73" s="39"/>
      <c r="D73" s="39"/>
      <c r="E73" s="39"/>
      <c r="F73" s="39"/>
      <c r="G73" s="39"/>
      <c r="H73" s="39"/>
      <c r="I73" s="39"/>
      <c r="J73" s="39"/>
      <c r="K73" s="39"/>
      <c r="L73" s="39"/>
      <c r="M73" s="39"/>
      <c r="N73" s="39"/>
      <c r="O73" s="39"/>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18"/>
      <c r="EH73" s="18"/>
      <c r="EI73" s="18"/>
      <c r="EJ73" s="18"/>
      <c r="EK73" s="18"/>
      <c r="EL73" s="18"/>
      <c r="EM73" s="18"/>
      <c r="EN73" s="18"/>
      <c r="EO73" s="18"/>
      <c r="EP73" s="18"/>
      <c r="EQ73" s="18"/>
      <c r="ER73" s="18"/>
      <c r="ES73" s="18"/>
      <c r="ET73" s="18"/>
      <c r="EU73" s="18"/>
      <c r="EV73" s="18"/>
      <c r="EW73" s="18"/>
      <c r="EX73" s="18"/>
      <c r="EY73" s="18"/>
      <c r="EZ73" s="18"/>
      <c r="FA73" s="18"/>
      <c r="FB73" s="18"/>
      <c r="FC73" s="18"/>
      <c r="FD73" s="18"/>
      <c r="FE73" s="18"/>
      <c r="FF73" s="18"/>
      <c r="FG73" s="18"/>
      <c r="FH73" s="18"/>
      <c r="FI73" s="18"/>
      <c r="FJ73" s="18"/>
      <c r="FK73" s="18"/>
      <c r="FL73" s="18"/>
      <c r="FM73" s="18"/>
      <c r="FN73" s="18"/>
      <c r="FO73" s="18"/>
      <c r="FP73" s="18"/>
      <c r="FQ73" s="18"/>
      <c r="FR73" s="18"/>
      <c r="FS73" s="18"/>
      <c r="FT73" s="18"/>
      <c r="FU73" s="18"/>
      <c r="FV73" s="18"/>
      <c r="FW73" s="18"/>
      <c r="FX73" s="18"/>
      <c r="FY73" s="18"/>
      <c r="FZ73" s="18"/>
      <c r="GA73" s="18"/>
      <c r="GB73" s="18"/>
      <c r="GC73" s="18"/>
      <c r="GD73" s="18"/>
      <c r="GE73" s="18"/>
      <c r="GF73" s="18"/>
      <c r="GG73" s="18"/>
      <c r="GH73" s="18"/>
      <c r="GI73" s="18"/>
      <c r="GJ73" s="18"/>
      <c r="GK73" s="18"/>
      <c r="GL73" s="18"/>
      <c r="GM73" s="18"/>
      <c r="GN73" s="18"/>
      <c r="GO73" s="18"/>
      <c r="GP73" s="18"/>
      <c r="GQ73" s="18"/>
      <c r="GR73" s="18"/>
      <c r="GS73" s="18"/>
      <c r="GT73" s="18"/>
      <c r="GU73" s="18"/>
      <c r="GV73" s="18"/>
      <c r="GW73" s="18"/>
      <c r="GX73" s="18"/>
      <c r="GY73" s="18"/>
      <c r="GZ73" s="18"/>
      <c r="HA73" s="18"/>
      <c r="HB73" s="18"/>
      <c r="HC73" s="18"/>
      <c r="HD73" s="18"/>
      <c r="HE73" s="18"/>
      <c r="HF73" s="18"/>
      <c r="HG73" s="18"/>
      <c r="HH73" s="18"/>
      <c r="HI73" s="18"/>
      <c r="HJ73" s="18"/>
      <c r="HK73" s="18"/>
      <c r="HL73" s="18"/>
      <c r="HM73" s="18"/>
      <c r="HN73" s="18"/>
      <c r="HO73" s="18"/>
      <c r="HP73" s="18"/>
      <c r="HQ73" s="18"/>
      <c r="HR73" s="18"/>
      <c r="HS73" s="18"/>
      <c r="HT73" s="18"/>
      <c r="HU73" s="18"/>
      <c r="HV73" s="18"/>
      <c r="HW73" s="18"/>
      <c r="HX73" s="18"/>
      <c r="HY73" s="18"/>
      <c r="HZ73" s="18"/>
      <c r="IA73" s="18"/>
      <c r="IB73" s="18"/>
      <c r="IC73" s="18"/>
      <c r="ID73" s="18"/>
      <c r="IE73" s="18"/>
      <c r="IF73" s="18"/>
      <c r="IG73" s="18"/>
      <c r="IH73" s="18"/>
      <c r="II73" s="18"/>
      <c r="IJ73" s="18"/>
      <c r="IK73" s="18"/>
      <c r="IL73" s="18"/>
      <c r="IM73" s="18"/>
      <c r="IN73" s="18"/>
      <c r="IO73" s="18"/>
      <c r="IP73" s="18"/>
      <c r="IQ73" s="18"/>
      <c r="IR73" s="18"/>
      <c r="IS73" s="18"/>
      <c r="IT73" s="18"/>
      <c r="IU73" s="18"/>
      <c r="IV73" s="18"/>
    </row>
    <row r="74" spans="1:256" ht="12.75">
      <c r="A74" s="29"/>
      <c r="B74" s="39"/>
      <c r="C74" s="39"/>
      <c r="D74" s="39"/>
      <c r="E74" s="39"/>
      <c r="F74" s="39"/>
      <c r="G74" s="39"/>
      <c r="H74" s="39"/>
      <c r="I74" s="39"/>
      <c r="J74" s="39"/>
      <c r="K74" s="39"/>
      <c r="L74" s="39"/>
      <c r="M74" s="39"/>
      <c r="N74" s="39"/>
      <c r="O74" s="39"/>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c r="GX74" s="18"/>
      <c r="GY74" s="18"/>
      <c r="GZ74" s="18"/>
      <c r="HA74" s="18"/>
      <c r="HB74" s="18"/>
      <c r="HC74" s="18"/>
      <c r="HD74" s="18"/>
      <c r="HE74" s="18"/>
      <c r="HF74" s="18"/>
      <c r="HG74" s="18"/>
      <c r="HH74" s="18"/>
      <c r="HI74" s="18"/>
      <c r="HJ74" s="18"/>
      <c r="HK74" s="18"/>
      <c r="HL74" s="18"/>
      <c r="HM74" s="18"/>
      <c r="HN74" s="18"/>
      <c r="HO74" s="18"/>
      <c r="HP74" s="18"/>
      <c r="HQ74" s="18"/>
      <c r="HR74" s="18"/>
      <c r="HS74" s="18"/>
      <c r="HT74" s="18"/>
      <c r="HU74" s="18"/>
      <c r="HV74" s="18"/>
      <c r="HW74" s="18"/>
      <c r="HX74" s="18"/>
      <c r="HY74" s="18"/>
      <c r="HZ74" s="18"/>
      <c r="IA74" s="18"/>
      <c r="IB74" s="18"/>
      <c r="IC74" s="18"/>
      <c r="ID74" s="18"/>
      <c r="IE74" s="18"/>
      <c r="IF74" s="18"/>
      <c r="IG74" s="18"/>
      <c r="IH74" s="18"/>
      <c r="II74" s="18"/>
      <c r="IJ74" s="18"/>
      <c r="IK74" s="18"/>
      <c r="IL74" s="18"/>
      <c r="IM74" s="18"/>
      <c r="IN74" s="18"/>
      <c r="IO74" s="18"/>
      <c r="IP74" s="18"/>
      <c r="IQ74" s="18"/>
      <c r="IR74" s="18"/>
      <c r="IS74" s="18"/>
      <c r="IT74" s="18"/>
      <c r="IU74" s="18"/>
      <c r="IV74" s="18"/>
    </row>
    <row r="75" spans="1:256" ht="12.75">
      <c r="A75" s="29"/>
      <c r="B75" s="39"/>
      <c r="C75" s="39"/>
      <c r="D75" s="39"/>
      <c r="E75" s="39"/>
      <c r="F75" s="39"/>
      <c r="G75" s="39"/>
      <c r="H75" s="39"/>
      <c r="I75" s="39"/>
      <c r="J75" s="39"/>
      <c r="K75" s="39"/>
      <c r="L75" s="39"/>
      <c r="M75" s="39"/>
      <c r="N75" s="39"/>
      <c r="O75" s="39"/>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18"/>
      <c r="GU75" s="18"/>
      <c r="GV75" s="18"/>
      <c r="GW75" s="18"/>
      <c r="GX75" s="18"/>
      <c r="GY75" s="18"/>
      <c r="GZ75" s="18"/>
      <c r="HA75" s="18"/>
      <c r="HB75" s="18"/>
      <c r="HC75" s="18"/>
      <c r="HD75" s="18"/>
      <c r="HE75" s="18"/>
      <c r="HF75" s="18"/>
      <c r="HG75" s="18"/>
      <c r="HH75" s="18"/>
      <c r="HI75" s="18"/>
      <c r="HJ75" s="18"/>
      <c r="HK75" s="18"/>
      <c r="HL75" s="18"/>
      <c r="HM75" s="18"/>
      <c r="HN75" s="18"/>
      <c r="HO75" s="18"/>
      <c r="HP75" s="18"/>
      <c r="HQ75" s="18"/>
      <c r="HR75" s="18"/>
      <c r="HS75" s="18"/>
      <c r="HT75" s="18"/>
      <c r="HU75" s="18"/>
      <c r="HV75" s="18"/>
      <c r="HW75" s="18"/>
      <c r="HX75" s="18"/>
      <c r="HY75" s="18"/>
      <c r="HZ75" s="18"/>
      <c r="IA75" s="18"/>
      <c r="IB75" s="18"/>
      <c r="IC75" s="18"/>
      <c r="ID75" s="18"/>
      <c r="IE75" s="18"/>
      <c r="IF75" s="18"/>
      <c r="IG75" s="18"/>
      <c r="IH75" s="18"/>
      <c r="II75" s="18"/>
      <c r="IJ75" s="18"/>
      <c r="IK75" s="18"/>
      <c r="IL75" s="18"/>
      <c r="IM75" s="18"/>
      <c r="IN75" s="18"/>
      <c r="IO75" s="18"/>
      <c r="IP75" s="18"/>
      <c r="IQ75" s="18"/>
      <c r="IR75" s="18"/>
      <c r="IS75" s="18"/>
      <c r="IT75" s="18"/>
      <c r="IU75" s="18"/>
      <c r="IV75" s="18"/>
    </row>
    <row r="76" spans="1:256" ht="12.75">
      <c r="A76" s="29"/>
      <c r="B76" s="39"/>
      <c r="C76" s="39"/>
      <c r="D76" s="39"/>
      <c r="E76" s="39"/>
      <c r="F76" s="39"/>
      <c r="G76" s="39"/>
      <c r="H76" s="39"/>
      <c r="I76" s="39"/>
      <c r="J76" s="39"/>
      <c r="K76" s="39"/>
      <c r="L76" s="39"/>
      <c r="M76" s="39"/>
      <c r="N76" s="39"/>
      <c r="O76" s="39"/>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18"/>
      <c r="GU76" s="18"/>
      <c r="GV76" s="18"/>
      <c r="GW76" s="18"/>
      <c r="GX76" s="18"/>
      <c r="GY76" s="18"/>
      <c r="GZ76" s="18"/>
      <c r="HA76" s="18"/>
      <c r="HB76" s="18"/>
      <c r="HC76" s="18"/>
      <c r="HD76" s="18"/>
      <c r="HE76" s="18"/>
      <c r="HF76" s="18"/>
      <c r="HG76" s="18"/>
      <c r="HH76" s="18"/>
      <c r="HI76" s="18"/>
      <c r="HJ76" s="18"/>
      <c r="HK76" s="18"/>
      <c r="HL76" s="18"/>
      <c r="HM76" s="18"/>
      <c r="HN76" s="18"/>
      <c r="HO76" s="18"/>
      <c r="HP76" s="18"/>
      <c r="HQ76" s="18"/>
      <c r="HR76" s="18"/>
      <c r="HS76" s="18"/>
      <c r="HT76" s="18"/>
      <c r="HU76" s="18"/>
      <c r="HV76" s="18"/>
      <c r="HW76" s="18"/>
      <c r="HX76" s="18"/>
      <c r="HY76" s="18"/>
      <c r="HZ76" s="18"/>
      <c r="IA76" s="18"/>
      <c r="IB76" s="18"/>
      <c r="IC76" s="18"/>
      <c r="ID76" s="18"/>
      <c r="IE76" s="18"/>
      <c r="IF76" s="18"/>
      <c r="IG76" s="18"/>
      <c r="IH76" s="18"/>
      <c r="II76" s="18"/>
      <c r="IJ76" s="18"/>
      <c r="IK76" s="18"/>
      <c r="IL76" s="18"/>
      <c r="IM76" s="18"/>
      <c r="IN76" s="18"/>
      <c r="IO76" s="18"/>
      <c r="IP76" s="18"/>
      <c r="IQ76" s="18"/>
      <c r="IR76" s="18"/>
      <c r="IS76" s="18"/>
      <c r="IT76" s="18"/>
      <c r="IU76" s="18"/>
      <c r="IV76" s="18"/>
    </row>
    <row r="77" spans="1:256" ht="12.75">
      <c r="A77" s="29"/>
      <c r="B77" s="39"/>
      <c r="C77" s="39"/>
      <c r="D77" s="39"/>
      <c r="E77" s="39"/>
      <c r="F77" s="39"/>
      <c r="G77" s="39"/>
      <c r="H77" s="39"/>
      <c r="I77" s="39"/>
      <c r="J77" s="39"/>
      <c r="K77" s="39"/>
      <c r="L77" s="39"/>
      <c r="M77" s="39"/>
      <c r="N77" s="39"/>
      <c r="O77" s="39"/>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c r="HO77" s="18"/>
      <c r="HP77" s="18"/>
      <c r="HQ77" s="18"/>
      <c r="HR77" s="18"/>
      <c r="HS77" s="18"/>
      <c r="HT77" s="18"/>
      <c r="HU77" s="18"/>
      <c r="HV77" s="18"/>
      <c r="HW77" s="18"/>
      <c r="HX77" s="18"/>
      <c r="HY77" s="18"/>
      <c r="HZ77" s="18"/>
      <c r="IA77" s="18"/>
      <c r="IB77" s="18"/>
      <c r="IC77" s="18"/>
      <c r="ID77" s="18"/>
      <c r="IE77" s="18"/>
      <c r="IF77" s="18"/>
      <c r="IG77" s="18"/>
      <c r="IH77" s="18"/>
      <c r="II77" s="18"/>
      <c r="IJ77" s="18"/>
      <c r="IK77" s="18"/>
      <c r="IL77" s="18"/>
      <c r="IM77" s="18"/>
      <c r="IN77" s="18"/>
      <c r="IO77" s="18"/>
      <c r="IP77" s="18"/>
      <c r="IQ77" s="18"/>
      <c r="IR77" s="18"/>
      <c r="IS77" s="18"/>
      <c r="IT77" s="18"/>
      <c r="IU77" s="18"/>
      <c r="IV77" s="18"/>
    </row>
    <row r="78" spans="1:256" ht="12.75">
      <c r="A78" s="29"/>
      <c r="B78" s="39"/>
      <c r="C78" s="39"/>
      <c r="D78" s="39"/>
      <c r="E78" s="39"/>
      <c r="F78" s="39"/>
      <c r="G78" s="39"/>
      <c r="H78" s="39"/>
      <c r="I78" s="39"/>
      <c r="J78" s="39"/>
      <c r="K78" s="39"/>
      <c r="L78" s="39"/>
      <c r="M78" s="39"/>
      <c r="N78" s="39"/>
      <c r="O78" s="39"/>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18"/>
      <c r="HG78" s="18"/>
      <c r="HH78" s="18"/>
      <c r="HI78" s="18"/>
      <c r="HJ78" s="18"/>
      <c r="HK78" s="18"/>
      <c r="HL78" s="18"/>
      <c r="HM78" s="18"/>
      <c r="HN78" s="18"/>
      <c r="HO78" s="18"/>
      <c r="HP78" s="18"/>
      <c r="HQ78" s="18"/>
      <c r="HR78" s="18"/>
      <c r="HS78" s="18"/>
      <c r="HT78" s="18"/>
      <c r="HU78" s="18"/>
      <c r="HV78" s="18"/>
      <c r="HW78" s="18"/>
      <c r="HX78" s="18"/>
      <c r="HY78" s="18"/>
      <c r="HZ78" s="18"/>
      <c r="IA78" s="18"/>
      <c r="IB78" s="18"/>
      <c r="IC78" s="18"/>
      <c r="ID78" s="18"/>
      <c r="IE78" s="18"/>
      <c r="IF78" s="18"/>
      <c r="IG78" s="18"/>
      <c r="IH78" s="18"/>
      <c r="II78" s="18"/>
      <c r="IJ78" s="18"/>
      <c r="IK78" s="18"/>
      <c r="IL78" s="18"/>
      <c r="IM78" s="18"/>
      <c r="IN78" s="18"/>
      <c r="IO78" s="18"/>
      <c r="IP78" s="18"/>
      <c r="IQ78" s="18"/>
      <c r="IR78" s="18"/>
      <c r="IS78" s="18"/>
      <c r="IT78" s="18"/>
      <c r="IU78" s="18"/>
      <c r="IV78" s="18"/>
    </row>
    <row r="79" spans="1:256" ht="12.75">
      <c r="A79" s="29"/>
      <c r="B79" s="39"/>
      <c r="C79" s="39"/>
      <c r="D79" s="39"/>
      <c r="E79" s="39"/>
      <c r="F79" s="39"/>
      <c r="G79" s="39"/>
      <c r="H79" s="39"/>
      <c r="I79" s="39"/>
      <c r="J79" s="39"/>
      <c r="K79" s="39"/>
      <c r="L79" s="39"/>
      <c r="M79" s="39"/>
      <c r="N79" s="39"/>
      <c r="O79" s="39"/>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c r="HO79" s="18"/>
      <c r="HP79" s="18"/>
      <c r="HQ79" s="18"/>
      <c r="HR79" s="18"/>
      <c r="HS79" s="18"/>
      <c r="HT79" s="18"/>
      <c r="HU79" s="18"/>
      <c r="HV79" s="18"/>
      <c r="HW79" s="18"/>
      <c r="HX79" s="18"/>
      <c r="HY79" s="18"/>
      <c r="HZ79" s="18"/>
      <c r="IA79" s="18"/>
      <c r="IB79" s="18"/>
      <c r="IC79" s="18"/>
      <c r="ID79" s="18"/>
      <c r="IE79" s="18"/>
      <c r="IF79" s="18"/>
      <c r="IG79" s="18"/>
      <c r="IH79" s="18"/>
      <c r="II79" s="18"/>
      <c r="IJ79" s="18"/>
      <c r="IK79" s="18"/>
      <c r="IL79" s="18"/>
      <c r="IM79" s="18"/>
      <c r="IN79" s="18"/>
      <c r="IO79" s="18"/>
      <c r="IP79" s="18"/>
      <c r="IQ79" s="18"/>
      <c r="IR79" s="18"/>
      <c r="IS79" s="18"/>
      <c r="IT79" s="18"/>
      <c r="IU79" s="18"/>
      <c r="IV79" s="18"/>
    </row>
    <row r="80" spans="1:256" ht="12.75">
      <c r="A80" s="29"/>
      <c r="B80" s="39"/>
      <c r="C80" s="39"/>
      <c r="D80" s="39"/>
      <c r="E80" s="39"/>
      <c r="F80" s="39"/>
      <c r="G80" s="39"/>
      <c r="H80" s="39"/>
      <c r="I80" s="39"/>
      <c r="J80" s="39"/>
      <c r="K80" s="39"/>
      <c r="L80" s="39"/>
      <c r="M80" s="39"/>
      <c r="N80" s="39"/>
      <c r="O80" s="39"/>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18"/>
      <c r="GU80" s="18"/>
      <c r="GV80" s="18"/>
      <c r="GW80" s="18"/>
      <c r="GX80" s="18"/>
      <c r="GY80" s="18"/>
      <c r="GZ80" s="18"/>
      <c r="HA80" s="18"/>
      <c r="HB80" s="18"/>
      <c r="HC80" s="18"/>
      <c r="HD80" s="18"/>
      <c r="HE80" s="18"/>
      <c r="HF80" s="18"/>
      <c r="HG80" s="18"/>
      <c r="HH80" s="18"/>
      <c r="HI80" s="18"/>
      <c r="HJ80" s="18"/>
      <c r="HK80" s="18"/>
      <c r="HL80" s="18"/>
      <c r="HM80" s="18"/>
      <c r="HN80" s="18"/>
      <c r="HO80" s="18"/>
      <c r="HP80" s="18"/>
      <c r="HQ80" s="18"/>
      <c r="HR80" s="18"/>
      <c r="HS80" s="18"/>
      <c r="HT80" s="18"/>
      <c r="HU80" s="18"/>
      <c r="HV80" s="18"/>
      <c r="HW80" s="18"/>
      <c r="HX80" s="18"/>
      <c r="HY80" s="18"/>
      <c r="HZ80" s="18"/>
      <c r="IA80" s="18"/>
      <c r="IB80" s="18"/>
      <c r="IC80" s="18"/>
      <c r="ID80" s="18"/>
      <c r="IE80" s="18"/>
      <c r="IF80" s="18"/>
      <c r="IG80" s="18"/>
      <c r="IH80" s="18"/>
      <c r="II80" s="18"/>
      <c r="IJ80" s="18"/>
      <c r="IK80" s="18"/>
      <c r="IL80" s="18"/>
      <c r="IM80" s="18"/>
      <c r="IN80" s="18"/>
      <c r="IO80" s="18"/>
      <c r="IP80" s="18"/>
      <c r="IQ80" s="18"/>
      <c r="IR80" s="18"/>
      <c r="IS80" s="18"/>
      <c r="IT80" s="18"/>
      <c r="IU80" s="18"/>
      <c r="IV80" s="18"/>
    </row>
    <row r="81" spans="1:256" ht="12.75">
      <c r="A81" s="29"/>
      <c r="B81" s="39"/>
      <c r="C81" s="39"/>
      <c r="D81" s="39"/>
      <c r="E81" s="39"/>
      <c r="F81" s="39"/>
      <c r="G81" s="39"/>
      <c r="H81" s="39"/>
      <c r="I81" s="39"/>
      <c r="J81" s="39"/>
      <c r="K81" s="39"/>
      <c r="L81" s="39"/>
      <c r="M81" s="39"/>
      <c r="N81" s="39"/>
      <c r="O81" s="39"/>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18"/>
      <c r="GU81" s="18"/>
      <c r="GV81" s="18"/>
      <c r="GW81" s="18"/>
      <c r="GX81" s="18"/>
      <c r="GY81" s="18"/>
      <c r="GZ81" s="18"/>
      <c r="HA81" s="18"/>
      <c r="HB81" s="18"/>
      <c r="HC81" s="18"/>
      <c r="HD81" s="18"/>
      <c r="HE81" s="18"/>
      <c r="HF81" s="18"/>
      <c r="HG81" s="18"/>
      <c r="HH81" s="18"/>
      <c r="HI81" s="18"/>
      <c r="HJ81" s="18"/>
      <c r="HK81" s="18"/>
      <c r="HL81" s="18"/>
      <c r="HM81" s="18"/>
      <c r="HN81" s="18"/>
      <c r="HO81" s="18"/>
      <c r="HP81" s="18"/>
      <c r="HQ81" s="18"/>
      <c r="HR81" s="18"/>
      <c r="HS81" s="18"/>
      <c r="HT81" s="18"/>
      <c r="HU81" s="18"/>
      <c r="HV81" s="18"/>
      <c r="HW81" s="18"/>
      <c r="HX81" s="18"/>
      <c r="HY81" s="18"/>
      <c r="HZ81" s="18"/>
      <c r="IA81" s="18"/>
      <c r="IB81" s="18"/>
      <c r="IC81" s="18"/>
      <c r="ID81" s="18"/>
      <c r="IE81" s="18"/>
      <c r="IF81" s="18"/>
      <c r="IG81" s="18"/>
      <c r="IH81" s="18"/>
      <c r="II81" s="18"/>
      <c r="IJ81" s="18"/>
      <c r="IK81" s="18"/>
      <c r="IL81" s="18"/>
      <c r="IM81" s="18"/>
      <c r="IN81" s="18"/>
      <c r="IO81" s="18"/>
      <c r="IP81" s="18"/>
      <c r="IQ81" s="18"/>
      <c r="IR81" s="18"/>
      <c r="IS81" s="18"/>
      <c r="IT81" s="18"/>
      <c r="IU81" s="18"/>
      <c r="IV81" s="18"/>
    </row>
    <row r="82" spans="1:256" ht="12.75">
      <c r="A82" s="29"/>
      <c r="B82" s="39"/>
      <c r="C82" s="39"/>
      <c r="D82" s="39"/>
      <c r="E82" s="39"/>
      <c r="F82" s="39"/>
      <c r="G82" s="39"/>
      <c r="H82" s="39"/>
      <c r="I82" s="39"/>
      <c r="J82" s="39"/>
      <c r="K82" s="39"/>
      <c r="L82" s="39"/>
      <c r="M82" s="39"/>
      <c r="N82" s="39"/>
      <c r="O82" s="39"/>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18"/>
      <c r="GU82" s="18"/>
      <c r="GV82" s="18"/>
      <c r="GW82" s="18"/>
      <c r="GX82" s="18"/>
      <c r="GY82" s="18"/>
      <c r="GZ82" s="18"/>
      <c r="HA82" s="18"/>
      <c r="HB82" s="18"/>
      <c r="HC82" s="18"/>
      <c r="HD82" s="18"/>
      <c r="HE82" s="18"/>
      <c r="HF82" s="18"/>
      <c r="HG82" s="18"/>
      <c r="HH82" s="18"/>
      <c r="HI82" s="18"/>
      <c r="HJ82" s="18"/>
      <c r="HK82" s="18"/>
      <c r="HL82" s="18"/>
      <c r="HM82" s="18"/>
      <c r="HN82" s="18"/>
      <c r="HO82" s="18"/>
      <c r="HP82" s="18"/>
      <c r="HQ82" s="18"/>
      <c r="HR82" s="18"/>
      <c r="HS82" s="18"/>
      <c r="HT82" s="18"/>
      <c r="HU82" s="18"/>
      <c r="HV82" s="18"/>
      <c r="HW82" s="18"/>
      <c r="HX82" s="18"/>
      <c r="HY82" s="18"/>
      <c r="HZ82" s="18"/>
      <c r="IA82" s="18"/>
      <c r="IB82" s="18"/>
      <c r="IC82" s="18"/>
      <c r="ID82" s="18"/>
      <c r="IE82" s="18"/>
      <c r="IF82" s="18"/>
      <c r="IG82" s="18"/>
      <c r="IH82" s="18"/>
      <c r="II82" s="18"/>
      <c r="IJ82" s="18"/>
      <c r="IK82" s="18"/>
      <c r="IL82" s="18"/>
      <c r="IM82" s="18"/>
      <c r="IN82" s="18"/>
      <c r="IO82" s="18"/>
      <c r="IP82" s="18"/>
      <c r="IQ82" s="18"/>
      <c r="IR82" s="18"/>
      <c r="IS82" s="18"/>
      <c r="IT82" s="18"/>
      <c r="IU82" s="18"/>
      <c r="IV82" s="18"/>
    </row>
    <row r="83" spans="1:256" ht="12.75">
      <c r="A83" s="29"/>
      <c r="B83" s="39"/>
      <c r="C83" s="39"/>
      <c r="D83" s="39"/>
      <c r="E83" s="39"/>
      <c r="F83" s="39"/>
      <c r="G83" s="39"/>
      <c r="H83" s="39"/>
      <c r="I83" s="39"/>
      <c r="J83" s="39"/>
      <c r="K83" s="39"/>
      <c r="L83" s="39"/>
      <c r="M83" s="39"/>
      <c r="N83" s="39"/>
      <c r="O83" s="39"/>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c r="GI83" s="18"/>
      <c r="GJ83" s="18"/>
      <c r="GK83" s="18"/>
      <c r="GL83" s="18"/>
      <c r="GM83" s="18"/>
      <c r="GN83" s="18"/>
      <c r="GO83" s="18"/>
      <c r="GP83" s="18"/>
      <c r="GQ83" s="18"/>
      <c r="GR83" s="18"/>
      <c r="GS83" s="18"/>
      <c r="GT83" s="18"/>
      <c r="GU83" s="18"/>
      <c r="GV83" s="18"/>
      <c r="GW83" s="18"/>
      <c r="GX83" s="18"/>
      <c r="GY83" s="18"/>
      <c r="GZ83" s="18"/>
      <c r="HA83" s="18"/>
      <c r="HB83" s="18"/>
      <c r="HC83" s="18"/>
      <c r="HD83" s="18"/>
      <c r="HE83" s="18"/>
      <c r="HF83" s="18"/>
      <c r="HG83" s="18"/>
      <c r="HH83" s="18"/>
      <c r="HI83" s="18"/>
      <c r="HJ83" s="18"/>
      <c r="HK83" s="18"/>
      <c r="HL83" s="18"/>
      <c r="HM83" s="18"/>
      <c r="HN83" s="18"/>
      <c r="HO83" s="18"/>
      <c r="HP83" s="18"/>
      <c r="HQ83" s="18"/>
      <c r="HR83" s="18"/>
      <c r="HS83" s="18"/>
      <c r="HT83" s="18"/>
      <c r="HU83" s="18"/>
      <c r="HV83" s="18"/>
      <c r="HW83" s="18"/>
      <c r="HX83" s="18"/>
      <c r="HY83" s="18"/>
      <c r="HZ83" s="18"/>
      <c r="IA83" s="18"/>
      <c r="IB83" s="18"/>
      <c r="IC83" s="18"/>
      <c r="ID83" s="18"/>
      <c r="IE83" s="18"/>
      <c r="IF83" s="18"/>
      <c r="IG83" s="18"/>
      <c r="IH83" s="18"/>
      <c r="II83" s="18"/>
      <c r="IJ83" s="18"/>
      <c r="IK83" s="18"/>
      <c r="IL83" s="18"/>
      <c r="IM83" s="18"/>
      <c r="IN83" s="18"/>
      <c r="IO83" s="18"/>
      <c r="IP83" s="18"/>
      <c r="IQ83" s="18"/>
      <c r="IR83" s="18"/>
      <c r="IS83" s="18"/>
      <c r="IT83" s="18"/>
      <c r="IU83" s="18"/>
      <c r="IV83" s="18"/>
    </row>
    <row r="84" spans="1:256" ht="12.75">
      <c r="A84" s="29"/>
      <c r="B84" s="39"/>
      <c r="C84" s="39"/>
      <c r="D84" s="39"/>
      <c r="E84" s="39"/>
      <c r="F84" s="39"/>
      <c r="G84" s="39"/>
      <c r="H84" s="39"/>
      <c r="I84" s="39"/>
      <c r="J84" s="39"/>
      <c r="K84" s="39"/>
      <c r="L84" s="39"/>
      <c r="M84" s="39"/>
      <c r="N84" s="39"/>
      <c r="O84" s="39"/>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18"/>
      <c r="GU84" s="18"/>
      <c r="GV84" s="18"/>
      <c r="GW84" s="18"/>
      <c r="GX84" s="18"/>
      <c r="GY84" s="18"/>
      <c r="GZ84" s="18"/>
      <c r="HA84" s="18"/>
      <c r="HB84" s="18"/>
      <c r="HC84" s="18"/>
      <c r="HD84" s="18"/>
      <c r="HE84" s="18"/>
      <c r="HF84" s="18"/>
      <c r="HG84" s="18"/>
      <c r="HH84" s="18"/>
      <c r="HI84" s="18"/>
      <c r="HJ84" s="18"/>
      <c r="HK84" s="18"/>
      <c r="HL84" s="18"/>
      <c r="HM84" s="18"/>
      <c r="HN84" s="18"/>
      <c r="HO84" s="18"/>
      <c r="HP84" s="18"/>
      <c r="HQ84" s="18"/>
      <c r="HR84" s="18"/>
      <c r="HS84" s="18"/>
      <c r="HT84" s="18"/>
      <c r="HU84" s="18"/>
      <c r="HV84" s="18"/>
      <c r="HW84" s="18"/>
      <c r="HX84" s="18"/>
      <c r="HY84" s="18"/>
      <c r="HZ84" s="18"/>
      <c r="IA84" s="18"/>
      <c r="IB84" s="18"/>
      <c r="IC84" s="18"/>
      <c r="ID84" s="18"/>
      <c r="IE84" s="18"/>
      <c r="IF84" s="18"/>
      <c r="IG84" s="18"/>
      <c r="IH84" s="18"/>
      <c r="II84" s="18"/>
      <c r="IJ84" s="18"/>
      <c r="IK84" s="18"/>
      <c r="IL84" s="18"/>
      <c r="IM84" s="18"/>
      <c r="IN84" s="18"/>
      <c r="IO84" s="18"/>
      <c r="IP84" s="18"/>
      <c r="IQ84" s="18"/>
      <c r="IR84" s="18"/>
      <c r="IS84" s="18"/>
      <c r="IT84" s="18"/>
      <c r="IU84" s="18"/>
      <c r="IV84" s="18"/>
    </row>
    <row r="85" spans="1:256" ht="12.75">
      <c r="A85" s="29"/>
      <c r="B85" s="39"/>
      <c r="C85" s="39"/>
      <c r="D85" s="39"/>
      <c r="E85" s="39"/>
      <c r="F85" s="39"/>
      <c r="G85" s="39"/>
      <c r="H85" s="39"/>
      <c r="I85" s="39"/>
      <c r="J85" s="39"/>
      <c r="K85" s="39"/>
      <c r="L85" s="39"/>
      <c r="M85" s="39"/>
      <c r="N85" s="39"/>
      <c r="O85" s="39"/>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c r="EZ85" s="18"/>
      <c r="FA85" s="18"/>
      <c r="FB85" s="18"/>
      <c r="FC85" s="18"/>
      <c r="FD85" s="18"/>
      <c r="FE85" s="18"/>
      <c r="FF85" s="18"/>
      <c r="FG85" s="18"/>
      <c r="FH85" s="18"/>
      <c r="FI85" s="18"/>
      <c r="FJ85" s="18"/>
      <c r="FK85" s="18"/>
      <c r="FL85" s="18"/>
      <c r="FM85" s="18"/>
      <c r="FN85" s="18"/>
      <c r="FO85" s="18"/>
      <c r="FP85" s="18"/>
      <c r="FQ85" s="18"/>
      <c r="FR85" s="18"/>
      <c r="FS85" s="18"/>
      <c r="FT85" s="18"/>
      <c r="FU85" s="18"/>
      <c r="FV85" s="18"/>
      <c r="FW85" s="18"/>
      <c r="FX85" s="18"/>
      <c r="FY85" s="18"/>
      <c r="FZ85" s="18"/>
      <c r="GA85" s="18"/>
      <c r="GB85" s="18"/>
      <c r="GC85" s="18"/>
      <c r="GD85" s="18"/>
      <c r="GE85" s="18"/>
      <c r="GF85" s="18"/>
      <c r="GG85" s="18"/>
      <c r="GH85" s="18"/>
      <c r="GI85" s="18"/>
      <c r="GJ85" s="18"/>
      <c r="GK85" s="18"/>
      <c r="GL85" s="18"/>
      <c r="GM85" s="18"/>
      <c r="GN85" s="18"/>
      <c r="GO85" s="18"/>
      <c r="GP85" s="18"/>
      <c r="GQ85" s="18"/>
      <c r="GR85" s="18"/>
      <c r="GS85" s="18"/>
      <c r="GT85" s="18"/>
      <c r="GU85" s="18"/>
      <c r="GV85" s="18"/>
      <c r="GW85" s="18"/>
      <c r="GX85" s="18"/>
      <c r="GY85" s="18"/>
      <c r="GZ85" s="18"/>
      <c r="HA85" s="18"/>
      <c r="HB85" s="18"/>
      <c r="HC85" s="18"/>
      <c r="HD85" s="18"/>
      <c r="HE85" s="18"/>
      <c r="HF85" s="18"/>
      <c r="HG85" s="18"/>
      <c r="HH85" s="18"/>
      <c r="HI85" s="18"/>
      <c r="HJ85" s="18"/>
      <c r="HK85" s="18"/>
      <c r="HL85" s="18"/>
      <c r="HM85" s="18"/>
      <c r="HN85" s="18"/>
      <c r="HO85" s="18"/>
      <c r="HP85" s="18"/>
      <c r="HQ85" s="18"/>
      <c r="HR85" s="18"/>
      <c r="HS85" s="18"/>
      <c r="HT85" s="18"/>
      <c r="HU85" s="18"/>
      <c r="HV85" s="18"/>
      <c r="HW85" s="18"/>
      <c r="HX85" s="18"/>
      <c r="HY85" s="18"/>
      <c r="HZ85" s="18"/>
      <c r="IA85" s="18"/>
      <c r="IB85" s="18"/>
      <c r="IC85" s="18"/>
      <c r="ID85" s="18"/>
      <c r="IE85" s="18"/>
      <c r="IF85" s="18"/>
      <c r="IG85" s="18"/>
      <c r="IH85" s="18"/>
      <c r="II85" s="18"/>
      <c r="IJ85" s="18"/>
      <c r="IK85" s="18"/>
      <c r="IL85" s="18"/>
      <c r="IM85" s="18"/>
      <c r="IN85" s="18"/>
      <c r="IO85" s="18"/>
      <c r="IP85" s="18"/>
      <c r="IQ85" s="18"/>
      <c r="IR85" s="18"/>
      <c r="IS85" s="18"/>
      <c r="IT85" s="18"/>
      <c r="IU85" s="18"/>
      <c r="IV85" s="18"/>
    </row>
    <row r="86" spans="1:256" ht="12.75">
      <c r="A86" s="29"/>
      <c r="B86" s="39"/>
      <c r="C86" s="39"/>
      <c r="D86" s="39"/>
      <c r="E86" s="39"/>
      <c r="F86" s="39"/>
      <c r="G86" s="39"/>
      <c r="H86" s="39"/>
      <c r="I86" s="39"/>
      <c r="J86" s="39"/>
      <c r="K86" s="39"/>
      <c r="L86" s="39"/>
      <c r="M86" s="39"/>
      <c r="N86" s="39"/>
      <c r="O86" s="39"/>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18"/>
      <c r="GU86" s="18"/>
      <c r="GV86" s="18"/>
      <c r="GW86" s="18"/>
      <c r="GX86" s="18"/>
      <c r="GY86" s="18"/>
      <c r="GZ86" s="18"/>
      <c r="HA86" s="18"/>
      <c r="HB86" s="18"/>
      <c r="HC86" s="18"/>
      <c r="HD86" s="18"/>
      <c r="HE86" s="18"/>
      <c r="HF86" s="18"/>
      <c r="HG86" s="18"/>
      <c r="HH86" s="18"/>
      <c r="HI86" s="18"/>
      <c r="HJ86" s="18"/>
      <c r="HK86" s="18"/>
      <c r="HL86" s="18"/>
      <c r="HM86" s="18"/>
      <c r="HN86" s="18"/>
      <c r="HO86" s="18"/>
      <c r="HP86" s="18"/>
      <c r="HQ86" s="18"/>
      <c r="HR86" s="18"/>
      <c r="HS86" s="18"/>
      <c r="HT86" s="18"/>
      <c r="HU86" s="18"/>
      <c r="HV86" s="18"/>
      <c r="HW86" s="18"/>
      <c r="HX86" s="18"/>
      <c r="HY86" s="18"/>
      <c r="HZ86" s="18"/>
      <c r="IA86" s="18"/>
      <c r="IB86" s="18"/>
      <c r="IC86" s="18"/>
      <c r="ID86" s="18"/>
      <c r="IE86" s="18"/>
      <c r="IF86" s="18"/>
      <c r="IG86" s="18"/>
      <c r="IH86" s="18"/>
      <c r="II86" s="18"/>
      <c r="IJ86" s="18"/>
      <c r="IK86" s="18"/>
      <c r="IL86" s="18"/>
      <c r="IM86" s="18"/>
      <c r="IN86" s="18"/>
      <c r="IO86" s="18"/>
      <c r="IP86" s="18"/>
      <c r="IQ86" s="18"/>
      <c r="IR86" s="18"/>
      <c r="IS86" s="18"/>
      <c r="IT86" s="18"/>
      <c r="IU86" s="18"/>
      <c r="IV86" s="18"/>
    </row>
    <row r="87" spans="1:256" ht="12.75">
      <c r="A87" s="29"/>
      <c r="B87" s="39"/>
      <c r="C87" s="39"/>
      <c r="D87" s="39"/>
      <c r="E87" s="39"/>
      <c r="F87" s="39"/>
      <c r="G87" s="39"/>
      <c r="H87" s="39"/>
      <c r="I87" s="39"/>
      <c r="J87" s="39"/>
      <c r="K87" s="39"/>
      <c r="L87" s="39"/>
      <c r="M87" s="39"/>
      <c r="N87" s="39"/>
      <c r="O87" s="39"/>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18"/>
      <c r="GU87" s="18"/>
      <c r="GV87" s="18"/>
      <c r="GW87" s="18"/>
      <c r="GX87" s="18"/>
      <c r="GY87" s="18"/>
      <c r="GZ87" s="18"/>
      <c r="HA87" s="18"/>
      <c r="HB87" s="18"/>
      <c r="HC87" s="18"/>
      <c r="HD87" s="18"/>
      <c r="HE87" s="18"/>
      <c r="HF87" s="18"/>
      <c r="HG87" s="18"/>
      <c r="HH87" s="18"/>
      <c r="HI87" s="18"/>
      <c r="HJ87" s="18"/>
      <c r="HK87" s="18"/>
      <c r="HL87" s="18"/>
      <c r="HM87" s="18"/>
      <c r="HN87" s="18"/>
      <c r="HO87" s="18"/>
      <c r="HP87" s="18"/>
      <c r="HQ87" s="18"/>
      <c r="HR87" s="18"/>
      <c r="HS87" s="18"/>
      <c r="HT87" s="18"/>
      <c r="HU87" s="18"/>
      <c r="HV87" s="18"/>
      <c r="HW87" s="18"/>
      <c r="HX87" s="18"/>
      <c r="HY87" s="18"/>
      <c r="HZ87" s="18"/>
      <c r="IA87" s="18"/>
      <c r="IB87" s="18"/>
      <c r="IC87" s="18"/>
      <c r="ID87" s="18"/>
      <c r="IE87" s="18"/>
      <c r="IF87" s="18"/>
      <c r="IG87" s="18"/>
      <c r="IH87" s="18"/>
      <c r="II87" s="18"/>
      <c r="IJ87" s="18"/>
      <c r="IK87" s="18"/>
      <c r="IL87" s="18"/>
      <c r="IM87" s="18"/>
      <c r="IN87" s="18"/>
      <c r="IO87" s="18"/>
      <c r="IP87" s="18"/>
      <c r="IQ87" s="18"/>
      <c r="IR87" s="18"/>
      <c r="IS87" s="18"/>
      <c r="IT87" s="18"/>
      <c r="IU87" s="18"/>
      <c r="IV87" s="18"/>
    </row>
    <row r="88" spans="1:256" ht="12.75">
      <c r="A88" s="29"/>
      <c r="B88" s="39"/>
      <c r="C88" s="39"/>
      <c r="D88" s="39"/>
      <c r="E88" s="39"/>
      <c r="F88" s="39"/>
      <c r="G88" s="39"/>
      <c r="H88" s="39"/>
      <c r="I88" s="39"/>
      <c r="J88" s="39"/>
      <c r="K88" s="39"/>
      <c r="L88" s="39"/>
      <c r="M88" s="39"/>
      <c r="N88" s="39"/>
      <c r="O88" s="39"/>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c r="IT88" s="18"/>
      <c r="IU88" s="18"/>
      <c r="IV88" s="18"/>
    </row>
    <row r="89" spans="1:256" ht="12.75">
      <c r="A89" s="29"/>
      <c r="B89" s="39"/>
      <c r="C89" s="39"/>
      <c r="D89" s="39"/>
      <c r="E89" s="39"/>
      <c r="F89" s="39"/>
      <c r="G89" s="39"/>
      <c r="H89" s="39"/>
      <c r="I89" s="39"/>
      <c r="J89" s="39"/>
      <c r="K89" s="39"/>
      <c r="L89" s="39"/>
      <c r="M89" s="39"/>
      <c r="N89" s="39"/>
      <c r="O89" s="39"/>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c r="IT89" s="18"/>
      <c r="IU89" s="18"/>
      <c r="IV89" s="18"/>
    </row>
    <row r="90" spans="1:256" ht="12.75">
      <c r="A90" s="29"/>
      <c r="B90" s="39"/>
      <c r="C90" s="39"/>
      <c r="D90" s="39"/>
      <c r="E90" s="39"/>
      <c r="F90" s="39"/>
      <c r="G90" s="39"/>
      <c r="H90" s="39"/>
      <c r="I90" s="39"/>
      <c r="J90" s="39"/>
      <c r="K90" s="39"/>
      <c r="L90" s="39"/>
      <c r="M90" s="39"/>
      <c r="N90" s="39"/>
      <c r="O90" s="39"/>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c r="IT90" s="18"/>
      <c r="IU90" s="18"/>
      <c r="IV90" s="18"/>
    </row>
    <row r="91" spans="1:256" ht="12.75">
      <c r="A91" s="29"/>
      <c r="B91" s="39"/>
      <c r="C91" s="39"/>
      <c r="D91" s="39"/>
      <c r="E91" s="39"/>
      <c r="F91" s="39"/>
      <c r="G91" s="39"/>
      <c r="H91" s="39"/>
      <c r="I91" s="39"/>
      <c r="J91" s="39"/>
      <c r="K91" s="39"/>
      <c r="L91" s="39"/>
      <c r="M91" s="39"/>
      <c r="N91" s="39"/>
      <c r="O91" s="39"/>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c r="IU91" s="18"/>
      <c r="IV91" s="18"/>
    </row>
    <row r="92" spans="1:256" ht="12.75">
      <c r="A92" s="29"/>
      <c r="B92" s="39"/>
      <c r="C92" s="39"/>
      <c r="D92" s="39"/>
      <c r="E92" s="39"/>
      <c r="F92" s="39"/>
      <c r="G92" s="39"/>
      <c r="H92" s="39"/>
      <c r="I92" s="39"/>
      <c r="J92" s="39"/>
      <c r="K92" s="39"/>
      <c r="L92" s="39"/>
      <c r="M92" s="39"/>
      <c r="N92" s="39"/>
      <c r="O92" s="39"/>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c r="IU92" s="18"/>
      <c r="IV92" s="18"/>
    </row>
    <row r="93" spans="1:256" ht="12.75">
      <c r="A93" s="29"/>
      <c r="B93" s="39"/>
      <c r="C93" s="39"/>
      <c r="D93" s="39"/>
      <c r="E93" s="39"/>
      <c r="F93" s="39"/>
      <c r="G93" s="39"/>
      <c r="H93" s="39"/>
      <c r="I93" s="39"/>
      <c r="J93" s="39"/>
      <c r="K93" s="39"/>
      <c r="L93" s="39"/>
      <c r="M93" s="39"/>
      <c r="N93" s="39"/>
      <c r="O93" s="39"/>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c r="IV93" s="18"/>
    </row>
    <row r="94" spans="1:256" ht="12.75">
      <c r="A94" s="29"/>
      <c r="B94" s="39"/>
      <c r="C94" s="39"/>
      <c r="D94" s="39"/>
      <c r="E94" s="39"/>
      <c r="F94" s="39"/>
      <c r="G94" s="39"/>
      <c r="H94" s="39"/>
      <c r="I94" s="39"/>
      <c r="J94" s="39"/>
      <c r="K94" s="39"/>
      <c r="L94" s="39"/>
      <c r="M94" s="39"/>
      <c r="N94" s="39"/>
      <c r="O94" s="39"/>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c r="IU94" s="18"/>
      <c r="IV94" s="18"/>
    </row>
    <row r="95" spans="1:256" ht="12.75">
      <c r="A95" s="29"/>
      <c r="B95" s="39"/>
      <c r="C95" s="39"/>
      <c r="D95" s="39"/>
      <c r="E95" s="39"/>
      <c r="F95" s="39"/>
      <c r="G95" s="39"/>
      <c r="H95" s="39"/>
      <c r="I95" s="39"/>
      <c r="J95" s="39"/>
      <c r="K95" s="39"/>
      <c r="L95" s="39"/>
      <c r="M95" s="39"/>
      <c r="N95" s="39"/>
      <c r="O95" s="39"/>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c r="IU95" s="18"/>
      <c r="IV95" s="18"/>
    </row>
    <row r="96" spans="1:256" ht="12.75">
      <c r="A96" s="29"/>
      <c r="B96" s="39"/>
      <c r="C96" s="39"/>
      <c r="D96" s="39"/>
      <c r="E96" s="39"/>
      <c r="F96" s="39"/>
      <c r="G96" s="39"/>
      <c r="H96" s="39"/>
      <c r="I96" s="39"/>
      <c r="J96" s="39"/>
      <c r="K96" s="39"/>
      <c r="L96" s="39"/>
      <c r="M96" s="39"/>
      <c r="N96" s="39"/>
      <c r="O96" s="39"/>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c r="IU96" s="18"/>
      <c r="IV96" s="18"/>
    </row>
    <row r="97" spans="1:256" ht="12.75">
      <c r="A97" s="29"/>
      <c r="B97" s="39"/>
      <c r="C97" s="39"/>
      <c r="D97" s="39"/>
      <c r="E97" s="39"/>
      <c r="F97" s="39"/>
      <c r="G97" s="39"/>
      <c r="H97" s="39"/>
      <c r="I97" s="39"/>
      <c r="J97" s="39"/>
      <c r="K97" s="39"/>
      <c r="L97" s="39"/>
      <c r="M97" s="39"/>
      <c r="N97" s="39"/>
      <c r="O97" s="39"/>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c r="IU97" s="18"/>
      <c r="IV97" s="18"/>
    </row>
    <row r="98" spans="1:256" ht="12.75">
      <c r="A98" s="29"/>
      <c r="B98" s="39"/>
      <c r="C98" s="39"/>
      <c r="D98" s="39"/>
      <c r="E98" s="39"/>
      <c r="F98" s="39"/>
      <c r="G98" s="39"/>
      <c r="H98" s="39"/>
      <c r="I98" s="39"/>
      <c r="J98" s="39"/>
      <c r="K98" s="39"/>
      <c r="L98" s="39"/>
      <c r="M98" s="39"/>
      <c r="N98" s="39"/>
      <c r="O98" s="39"/>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c r="IU98" s="18"/>
      <c r="IV98" s="18"/>
    </row>
    <row r="99" spans="1:256" ht="12.75">
      <c r="A99" s="29"/>
      <c r="B99" s="39"/>
      <c r="C99" s="39"/>
      <c r="D99" s="39"/>
      <c r="E99" s="39"/>
      <c r="F99" s="39"/>
      <c r="G99" s="39"/>
      <c r="H99" s="39"/>
      <c r="I99" s="39"/>
      <c r="J99" s="39"/>
      <c r="K99" s="39"/>
      <c r="L99" s="39"/>
      <c r="M99" s="39"/>
      <c r="N99" s="39"/>
      <c r="O99" s="39"/>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c r="IU99" s="18"/>
      <c r="IV99" s="18"/>
    </row>
    <row r="100" spans="1:256" ht="12.75">
      <c r="A100" s="29"/>
      <c r="B100" s="39"/>
      <c r="C100" s="39"/>
      <c r="D100" s="39"/>
      <c r="E100" s="39"/>
      <c r="F100" s="39"/>
      <c r="G100" s="39"/>
      <c r="H100" s="39"/>
      <c r="I100" s="39"/>
      <c r="J100" s="39"/>
      <c r="K100" s="39"/>
      <c r="L100" s="39"/>
      <c r="M100" s="39"/>
      <c r="N100" s="39"/>
      <c r="O100" s="39"/>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c r="IU100" s="18"/>
      <c r="IV100" s="18"/>
    </row>
    <row r="101" spans="1:256" ht="12.75">
      <c r="A101" s="29"/>
      <c r="B101" s="39"/>
      <c r="C101" s="39"/>
      <c r="D101" s="39"/>
      <c r="E101" s="39"/>
      <c r="F101" s="39"/>
      <c r="G101" s="39"/>
      <c r="H101" s="39"/>
      <c r="I101" s="39"/>
      <c r="J101" s="39"/>
      <c r="K101" s="39"/>
      <c r="L101" s="39"/>
      <c r="M101" s="39"/>
      <c r="N101" s="39"/>
      <c r="O101" s="39"/>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c r="IU101" s="18"/>
      <c r="IV101" s="18"/>
    </row>
    <row r="102" spans="1:256" ht="12.75">
      <c r="A102" s="29"/>
      <c r="B102" s="39"/>
      <c r="C102" s="39"/>
      <c r="D102" s="39"/>
      <c r="E102" s="39"/>
      <c r="F102" s="39"/>
      <c r="G102" s="39"/>
      <c r="H102" s="39"/>
      <c r="I102" s="39"/>
      <c r="J102" s="39"/>
      <c r="K102" s="39"/>
      <c r="L102" s="39"/>
      <c r="M102" s="39"/>
      <c r="N102" s="39"/>
      <c r="O102" s="39"/>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row>
    <row r="103" spans="1:256" ht="12.75">
      <c r="A103" s="29"/>
      <c r="B103" s="39"/>
      <c r="C103" s="39"/>
      <c r="D103" s="39"/>
      <c r="E103" s="39"/>
      <c r="F103" s="39"/>
      <c r="G103" s="39"/>
      <c r="H103" s="39"/>
      <c r="I103" s="39"/>
      <c r="J103" s="39"/>
      <c r="K103" s="39"/>
      <c r="L103" s="39"/>
      <c r="M103" s="39"/>
      <c r="N103" s="39"/>
      <c r="O103" s="39"/>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row>
    <row r="104" spans="1:256" ht="12.75">
      <c r="A104" s="29"/>
      <c r="B104" s="39"/>
      <c r="C104" s="39"/>
      <c r="D104" s="39"/>
      <c r="E104" s="39"/>
      <c r="F104" s="39"/>
      <c r="G104" s="39"/>
      <c r="H104" s="39"/>
      <c r="I104" s="39"/>
      <c r="J104" s="39"/>
      <c r="K104" s="39"/>
      <c r="L104" s="39"/>
      <c r="M104" s="39"/>
      <c r="N104" s="39"/>
      <c r="O104" s="39"/>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row>
    <row r="105" spans="1:256" ht="12.75">
      <c r="A105" s="29"/>
      <c r="B105" s="39"/>
      <c r="C105" s="39"/>
      <c r="D105" s="39"/>
      <c r="E105" s="39"/>
      <c r="F105" s="39"/>
      <c r="G105" s="39"/>
      <c r="H105" s="39"/>
      <c r="I105" s="39"/>
      <c r="J105" s="39"/>
      <c r="K105" s="39"/>
      <c r="L105" s="39"/>
      <c r="M105" s="39"/>
      <c r="N105" s="39"/>
      <c r="O105" s="39"/>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c r="II105" s="18"/>
      <c r="IJ105" s="18"/>
      <c r="IK105" s="18"/>
      <c r="IL105" s="18"/>
      <c r="IM105" s="18"/>
      <c r="IN105" s="18"/>
      <c r="IO105" s="18"/>
      <c r="IP105" s="18"/>
      <c r="IQ105" s="18"/>
      <c r="IR105" s="18"/>
      <c r="IS105" s="18"/>
      <c r="IT105" s="18"/>
      <c r="IU105" s="18"/>
      <c r="IV105" s="18"/>
    </row>
    <row r="106" spans="1:256" ht="12.75">
      <c r="A106" s="29"/>
      <c r="B106" s="39"/>
      <c r="C106" s="39"/>
      <c r="D106" s="39"/>
      <c r="E106" s="39"/>
      <c r="F106" s="39"/>
      <c r="G106" s="39"/>
      <c r="H106" s="39"/>
      <c r="I106" s="39"/>
      <c r="J106" s="39"/>
      <c r="K106" s="39"/>
      <c r="L106" s="39"/>
      <c r="M106" s="39"/>
      <c r="N106" s="39"/>
      <c r="O106" s="39"/>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row>
    <row r="107" spans="1:256" ht="12.75">
      <c r="A107" s="29"/>
      <c r="B107" s="39"/>
      <c r="C107" s="39"/>
      <c r="D107" s="39"/>
      <c r="E107" s="39"/>
      <c r="F107" s="39"/>
      <c r="G107" s="39"/>
      <c r="H107" s="39"/>
      <c r="I107" s="39"/>
      <c r="J107" s="39"/>
      <c r="K107" s="39"/>
      <c r="L107" s="39"/>
      <c r="M107" s="39"/>
      <c r="N107" s="39"/>
      <c r="O107" s="39"/>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row>
    <row r="108" spans="1:256" ht="12.75">
      <c r="A108" s="29"/>
      <c r="B108" s="39"/>
      <c r="C108" s="39"/>
      <c r="D108" s="39"/>
      <c r="E108" s="39"/>
      <c r="F108" s="39"/>
      <c r="G108" s="39"/>
      <c r="H108" s="39"/>
      <c r="I108" s="39"/>
      <c r="J108" s="39"/>
      <c r="K108" s="39"/>
      <c r="L108" s="39"/>
      <c r="M108" s="39"/>
      <c r="N108" s="39"/>
      <c r="O108" s="39"/>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row>
    <row r="109" spans="1:256" ht="12.75">
      <c r="A109" s="29"/>
      <c r="B109" s="39"/>
      <c r="C109" s="39"/>
      <c r="D109" s="39"/>
      <c r="E109" s="39"/>
      <c r="F109" s="39"/>
      <c r="G109" s="39"/>
      <c r="H109" s="39"/>
      <c r="I109" s="39"/>
      <c r="J109" s="39"/>
      <c r="K109" s="39"/>
      <c r="L109" s="39"/>
      <c r="M109" s="39"/>
      <c r="N109" s="39"/>
      <c r="O109" s="39"/>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c r="IK109" s="18"/>
      <c r="IL109" s="18"/>
      <c r="IM109" s="18"/>
      <c r="IN109" s="18"/>
      <c r="IO109" s="18"/>
      <c r="IP109" s="18"/>
      <c r="IQ109" s="18"/>
      <c r="IR109" s="18"/>
      <c r="IS109" s="18"/>
      <c r="IT109" s="18"/>
      <c r="IU109" s="18"/>
      <c r="IV109" s="18"/>
    </row>
    <row r="110" spans="1:256" ht="12.75">
      <c r="A110" s="29"/>
      <c r="B110" s="39"/>
      <c r="C110" s="39"/>
      <c r="D110" s="39"/>
      <c r="E110" s="39"/>
      <c r="F110" s="39"/>
      <c r="G110" s="39"/>
      <c r="H110" s="39"/>
      <c r="I110" s="39"/>
      <c r="J110" s="39"/>
      <c r="K110" s="39"/>
      <c r="L110" s="39"/>
      <c r="M110" s="39"/>
      <c r="N110" s="39"/>
      <c r="O110" s="39"/>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18"/>
      <c r="IV110" s="18"/>
    </row>
    <row r="111" spans="1:256" ht="12.75">
      <c r="A111" s="29"/>
      <c r="B111" s="39"/>
      <c r="C111" s="39"/>
      <c r="D111" s="39"/>
      <c r="E111" s="39"/>
      <c r="F111" s="39"/>
      <c r="G111" s="39"/>
      <c r="H111" s="39"/>
      <c r="I111" s="39"/>
      <c r="J111" s="39"/>
      <c r="K111" s="39"/>
      <c r="L111" s="39"/>
      <c r="M111" s="39"/>
      <c r="N111" s="39"/>
      <c r="O111" s="39"/>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c r="IV111" s="18"/>
    </row>
    <row r="112" spans="1:256" ht="12.75">
      <c r="A112" s="29"/>
      <c r="B112" s="39"/>
      <c r="C112" s="39"/>
      <c r="D112" s="39"/>
      <c r="E112" s="39"/>
      <c r="F112" s="39"/>
      <c r="G112" s="39"/>
      <c r="H112" s="39"/>
      <c r="I112" s="39"/>
      <c r="J112" s="39"/>
      <c r="K112" s="39"/>
      <c r="L112" s="39"/>
      <c r="M112" s="39"/>
      <c r="N112" s="39"/>
      <c r="O112" s="39"/>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c r="IV112" s="18"/>
    </row>
    <row r="113" spans="1:256" ht="12.75">
      <c r="A113" s="29"/>
      <c r="B113" s="39"/>
      <c r="C113" s="39"/>
      <c r="D113" s="39"/>
      <c r="E113" s="39"/>
      <c r="F113" s="39"/>
      <c r="G113" s="39"/>
      <c r="H113" s="39"/>
      <c r="I113" s="39"/>
      <c r="J113" s="39"/>
      <c r="K113" s="39"/>
      <c r="L113" s="39"/>
      <c r="M113" s="39"/>
      <c r="N113" s="39"/>
      <c r="O113" s="39"/>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c r="IN113" s="18"/>
      <c r="IO113" s="18"/>
      <c r="IP113" s="18"/>
      <c r="IQ113" s="18"/>
      <c r="IR113" s="18"/>
      <c r="IS113" s="18"/>
      <c r="IT113" s="18"/>
      <c r="IU113" s="18"/>
      <c r="IV113" s="18"/>
    </row>
    <row r="114" spans="1:256" ht="12.75">
      <c r="A114" s="29"/>
      <c r="B114" s="39"/>
      <c r="C114" s="39"/>
      <c r="D114" s="39"/>
      <c r="E114" s="39"/>
      <c r="F114" s="39"/>
      <c r="G114" s="39"/>
      <c r="H114" s="39"/>
      <c r="I114" s="39"/>
      <c r="J114" s="39"/>
      <c r="K114" s="39"/>
      <c r="L114" s="39"/>
      <c r="M114" s="39"/>
      <c r="N114" s="39"/>
      <c r="O114" s="39"/>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c r="IO114" s="18"/>
      <c r="IP114" s="18"/>
      <c r="IQ114" s="18"/>
      <c r="IR114" s="18"/>
      <c r="IS114" s="18"/>
      <c r="IT114" s="18"/>
      <c r="IU114" s="18"/>
      <c r="IV114" s="18"/>
    </row>
    <row r="115" spans="1:256" ht="12.75">
      <c r="A115" s="29"/>
      <c r="B115" s="39"/>
      <c r="C115" s="39"/>
      <c r="D115" s="39"/>
      <c r="E115" s="39"/>
      <c r="F115" s="39"/>
      <c r="G115" s="39"/>
      <c r="H115" s="39"/>
      <c r="I115" s="39"/>
      <c r="J115" s="39"/>
      <c r="K115" s="39"/>
      <c r="L115" s="39"/>
      <c r="M115" s="39"/>
      <c r="N115" s="39"/>
      <c r="O115" s="39"/>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c r="IV115" s="18"/>
    </row>
    <row r="116" spans="1:256" ht="12.75">
      <c r="A116" s="29"/>
      <c r="B116" s="39"/>
      <c r="C116" s="39"/>
      <c r="D116" s="39"/>
      <c r="E116" s="39"/>
      <c r="F116" s="39"/>
      <c r="G116" s="39"/>
      <c r="H116" s="39"/>
      <c r="I116" s="39"/>
      <c r="J116" s="39"/>
      <c r="K116" s="39"/>
      <c r="L116" s="39"/>
      <c r="M116" s="39"/>
      <c r="N116" s="39"/>
      <c r="O116" s="39"/>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row>
    <row r="117" spans="1:256" ht="12.75">
      <c r="A117" s="29"/>
      <c r="B117" s="39"/>
      <c r="C117" s="39"/>
      <c r="D117" s="39"/>
      <c r="E117" s="39"/>
      <c r="F117" s="39"/>
      <c r="G117" s="39"/>
      <c r="H117" s="39"/>
      <c r="I117" s="39"/>
      <c r="J117" s="39"/>
      <c r="K117" s="39"/>
      <c r="L117" s="39"/>
      <c r="M117" s="39"/>
      <c r="N117" s="39"/>
      <c r="O117" s="39"/>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c r="II117" s="18"/>
      <c r="IJ117" s="18"/>
      <c r="IK117" s="18"/>
      <c r="IL117" s="18"/>
      <c r="IM117" s="18"/>
      <c r="IN117" s="18"/>
      <c r="IO117" s="18"/>
      <c r="IP117" s="18"/>
      <c r="IQ117" s="18"/>
      <c r="IR117" s="18"/>
      <c r="IS117" s="18"/>
      <c r="IT117" s="18"/>
      <c r="IU117" s="18"/>
      <c r="IV117" s="18"/>
    </row>
    <row r="118" spans="1:256" ht="12.75">
      <c r="A118" s="29"/>
      <c r="B118" s="39"/>
      <c r="C118" s="39"/>
      <c r="D118" s="39"/>
      <c r="E118" s="39"/>
      <c r="F118" s="39"/>
      <c r="G118" s="39"/>
      <c r="H118" s="39"/>
      <c r="I118" s="39"/>
      <c r="J118" s="39"/>
      <c r="K118" s="39"/>
      <c r="L118" s="39"/>
      <c r="M118" s="39"/>
      <c r="N118" s="39"/>
      <c r="O118" s="39"/>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c r="IN118" s="18"/>
      <c r="IO118" s="18"/>
      <c r="IP118" s="18"/>
      <c r="IQ118" s="18"/>
      <c r="IR118" s="18"/>
      <c r="IS118" s="18"/>
      <c r="IT118" s="18"/>
      <c r="IU118" s="18"/>
      <c r="IV118" s="18"/>
    </row>
    <row r="119" spans="1:256" ht="12.75">
      <c r="A119" s="29"/>
      <c r="B119" s="39"/>
      <c r="C119" s="39"/>
      <c r="D119" s="39"/>
      <c r="E119" s="39"/>
      <c r="F119" s="39"/>
      <c r="G119" s="39"/>
      <c r="H119" s="39"/>
      <c r="I119" s="39"/>
      <c r="J119" s="39"/>
      <c r="K119" s="39"/>
      <c r="L119" s="39"/>
      <c r="M119" s="39"/>
      <c r="N119" s="39"/>
      <c r="O119" s="39"/>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row>
    <row r="120" spans="1:256" ht="12.75">
      <c r="A120" s="29"/>
      <c r="B120" s="39"/>
      <c r="C120" s="39"/>
      <c r="D120" s="39"/>
      <c r="E120" s="39"/>
      <c r="F120" s="39"/>
      <c r="G120" s="39"/>
      <c r="H120" s="39"/>
      <c r="I120" s="39"/>
      <c r="J120" s="39"/>
      <c r="K120" s="39"/>
      <c r="L120" s="39"/>
      <c r="M120" s="39"/>
      <c r="N120" s="39"/>
      <c r="O120" s="39"/>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row>
    <row r="121" spans="1:256" ht="12.75">
      <c r="A121" s="29"/>
      <c r="B121" s="39"/>
      <c r="C121" s="39"/>
      <c r="D121" s="39"/>
      <c r="E121" s="39"/>
      <c r="F121" s="39"/>
      <c r="G121" s="39"/>
      <c r="H121" s="39"/>
      <c r="I121" s="39"/>
      <c r="J121" s="39"/>
      <c r="K121" s="39"/>
      <c r="L121" s="39"/>
      <c r="M121" s="39"/>
      <c r="N121" s="39"/>
      <c r="O121" s="39"/>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c r="IN121" s="18"/>
      <c r="IO121" s="18"/>
      <c r="IP121" s="18"/>
      <c r="IQ121" s="18"/>
      <c r="IR121" s="18"/>
      <c r="IS121" s="18"/>
      <c r="IT121" s="18"/>
      <c r="IU121" s="18"/>
      <c r="IV121" s="18"/>
    </row>
    <row r="122" spans="1:256" ht="12.75">
      <c r="A122" s="29"/>
      <c r="B122" s="39"/>
      <c r="C122" s="39"/>
      <c r="D122" s="39"/>
      <c r="E122" s="39"/>
      <c r="F122" s="39"/>
      <c r="G122" s="39"/>
      <c r="H122" s="39"/>
      <c r="I122" s="39"/>
      <c r="J122" s="39"/>
      <c r="K122" s="39"/>
      <c r="L122" s="39"/>
      <c r="M122" s="39"/>
      <c r="N122" s="39"/>
      <c r="O122" s="39"/>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c r="IU122" s="18"/>
      <c r="IV122" s="18"/>
    </row>
    <row r="123" spans="1:256" ht="12.75">
      <c r="A123" s="29"/>
      <c r="B123" s="39"/>
      <c r="C123" s="39"/>
      <c r="D123" s="39"/>
      <c r="E123" s="39"/>
      <c r="F123" s="39"/>
      <c r="G123" s="39"/>
      <c r="H123" s="39"/>
      <c r="I123" s="39"/>
      <c r="J123" s="39"/>
      <c r="K123" s="39"/>
      <c r="L123" s="39"/>
      <c r="M123" s="39"/>
      <c r="N123" s="39"/>
      <c r="O123" s="39"/>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18"/>
      <c r="IV123" s="18"/>
    </row>
    <row r="124" spans="1:256" ht="12.75">
      <c r="A124" s="29"/>
      <c r="B124" s="39"/>
      <c r="C124" s="39"/>
      <c r="D124" s="39"/>
      <c r="E124" s="39"/>
      <c r="F124" s="39"/>
      <c r="G124" s="39"/>
      <c r="H124" s="39"/>
      <c r="I124" s="39"/>
      <c r="J124" s="39"/>
      <c r="K124" s="39"/>
      <c r="L124" s="39"/>
      <c r="M124" s="39"/>
      <c r="N124" s="39"/>
      <c r="O124" s="39"/>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c r="IV124" s="18"/>
    </row>
    <row r="125" spans="1:256" ht="12.75">
      <c r="A125" s="29"/>
      <c r="B125" s="39"/>
      <c r="C125" s="39"/>
      <c r="D125" s="39"/>
      <c r="E125" s="39"/>
      <c r="F125" s="39"/>
      <c r="G125" s="39"/>
      <c r="H125" s="39"/>
      <c r="I125" s="39"/>
      <c r="J125" s="39"/>
      <c r="K125" s="39"/>
      <c r="L125" s="39"/>
      <c r="M125" s="39"/>
      <c r="N125" s="39"/>
      <c r="O125" s="39"/>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c r="IG125" s="18"/>
      <c r="IH125" s="18"/>
      <c r="II125" s="18"/>
      <c r="IJ125" s="18"/>
      <c r="IK125" s="18"/>
      <c r="IL125" s="18"/>
      <c r="IM125" s="18"/>
      <c r="IN125" s="18"/>
      <c r="IO125" s="18"/>
      <c r="IP125" s="18"/>
      <c r="IQ125" s="18"/>
      <c r="IR125" s="18"/>
      <c r="IS125" s="18"/>
      <c r="IT125" s="18"/>
      <c r="IU125" s="18"/>
      <c r="IV125" s="18"/>
    </row>
    <row r="126" spans="1:256" ht="12.75">
      <c r="A126" s="29"/>
      <c r="B126" s="39"/>
      <c r="C126" s="39"/>
      <c r="D126" s="39"/>
      <c r="E126" s="39"/>
      <c r="F126" s="39"/>
      <c r="G126" s="39"/>
      <c r="H126" s="39"/>
      <c r="I126" s="39"/>
      <c r="J126" s="39"/>
      <c r="K126" s="39"/>
      <c r="L126" s="39"/>
      <c r="M126" s="39"/>
      <c r="N126" s="39"/>
      <c r="O126" s="39"/>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18"/>
      <c r="IV126" s="18"/>
    </row>
    <row r="127" spans="1:256" ht="12.75">
      <c r="A127" s="29"/>
      <c r="B127" s="39"/>
      <c r="C127" s="39"/>
      <c r="D127" s="39"/>
      <c r="E127" s="39"/>
      <c r="F127" s="39"/>
      <c r="G127" s="39"/>
      <c r="H127" s="39"/>
      <c r="I127" s="39"/>
      <c r="J127" s="39"/>
      <c r="K127" s="39"/>
      <c r="L127" s="39"/>
      <c r="M127" s="39"/>
      <c r="N127" s="39"/>
      <c r="O127" s="39"/>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c r="IV127" s="18"/>
    </row>
    <row r="128" spans="1:256" ht="12.75">
      <c r="A128" s="29"/>
      <c r="B128" s="39"/>
      <c r="C128" s="39"/>
      <c r="D128" s="39"/>
      <c r="E128" s="39"/>
      <c r="F128" s="39"/>
      <c r="G128" s="39"/>
      <c r="H128" s="39"/>
      <c r="I128" s="39"/>
      <c r="J128" s="39"/>
      <c r="K128" s="39"/>
      <c r="L128" s="39"/>
      <c r="M128" s="39"/>
      <c r="N128" s="39"/>
      <c r="O128" s="39"/>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c r="IK128" s="18"/>
      <c r="IL128" s="18"/>
      <c r="IM128" s="18"/>
      <c r="IN128" s="18"/>
      <c r="IO128" s="18"/>
      <c r="IP128" s="18"/>
      <c r="IQ128" s="18"/>
      <c r="IR128" s="18"/>
      <c r="IS128" s="18"/>
      <c r="IT128" s="18"/>
      <c r="IU128" s="18"/>
      <c r="IV128" s="18"/>
    </row>
    <row r="129" spans="1:256" ht="12.75">
      <c r="A129" s="29"/>
      <c r="B129" s="39"/>
      <c r="C129" s="39"/>
      <c r="D129" s="39"/>
      <c r="E129" s="39"/>
      <c r="F129" s="39"/>
      <c r="G129" s="39"/>
      <c r="H129" s="39"/>
      <c r="I129" s="39"/>
      <c r="J129" s="39"/>
      <c r="K129" s="39"/>
      <c r="L129" s="39"/>
      <c r="M129" s="39"/>
      <c r="N129" s="39"/>
      <c r="O129" s="39"/>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c r="II129" s="18"/>
      <c r="IJ129" s="18"/>
      <c r="IK129" s="18"/>
      <c r="IL129" s="18"/>
      <c r="IM129" s="18"/>
      <c r="IN129" s="18"/>
      <c r="IO129" s="18"/>
      <c r="IP129" s="18"/>
      <c r="IQ129" s="18"/>
      <c r="IR129" s="18"/>
      <c r="IS129" s="18"/>
      <c r="IT129" s="18"/>
      <c r="IU129" s="18"/>
      <c r="IV129" s="18"/>
    </row>
    <row r="130" spans="1:256" ht="12.75">
      <c r="A130" s="29"/>
      <c r="B130" s="39"/>
      <c r="C130" s="39"/>
      <c r="D130" s="39"/>
      <c r="E130" s="39"/>
      <c r="F130" s="39"/>
      <c r="G130" s="39"/>
      <c r="H130" s="39"/>
      <c r="I130" s="39"/>
      <c r="J130" s="39"/>
      <c r="K130" s="39"/>
      <c r="L130" s="39"/>
      <c r="M130" s="39"/>
      <c r="N130" s="39"/>
      <c r="O130" s="39"/>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row>
    <row r="131" spans="1:256" ht="12.75">
      <c r="A131" s="29"/>
      <c r="B131" s="29"/>
      <c r="C131" s="29"/>
      <c r="D131" s="29"/>
      <c r="E131" s="29"/>
      <c r="F131" s="29"/>
      <c r="G131" s="29"/>
      <c r="H131" s="29"/>
      <c r="I131" s="29"/>
      <c r="J131" s="29"/>
      <c r="K131" s="39"/>
      <c r="L131" s="39"/>
      <c r="M131" s="39"/>
      <c r="N131" s="39"/>
      <c r="O131" s="39"/>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row>
    <row r="132" spans="1:256" ht="12.75">
      <c r="A132" s="29"/>
      <c r="B132" s="29"/>
      <c r="C132" s="29"/>
      <c r="D132" s="29"/>
      <c r="E132" s="29"/>
      <c r="F132" s="29"/>
      <c r="G132" s="29"/>
      <c r="H132" s="29"/>
      <c r="I132" s="29"/>
      <c r="J132" s="29"/>
      <c r="K132" s="39"/>
      <c r="L132" s="39"/>
      <c r="M132" s="39"/>
      <c r="N132" s="39"/>
      <c r="O132" s="39"/>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18"/>
      <c r="IV132" s="18"/>
    </row>
    <row r="133" spans="1:256" ht="12.75">
      <c r="A133" s="29"/>
      <c r="B133" s="29"/>
      <c r="C133" s="29"/>
      <c r="D133" s="29"/>
      <c r="E133" s="29"/>
      <c r="F133" s="29"/>
      <c r="G133" s="29"/>
      <c r="H133" s="29"/>
      <c r="I133" s="29"/>
      <c r="J133" s="29"/>
      <c r="K133" s="39"/>
      <c r="L133" s="39"/>
      <c r="M133" s="39"/>
      <c r="N133" s="39"/>
      <c r="O133" s="39"/>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c r="IK133" s="18"/>
      <c r="IL133" s="18"/>
      <c r="IM133" s="18"/>
      <c r="IN133" s="18"/>
      <c r="IO133" s="18"/>
      <c r="IP133" s="18"/>
      <c r="IQ133" s="18"/>
      <c r="IR133" s="18"/>
      <c r="IS133" s="18"/>
      <c r="IT133" s="18"/>
      <c r="IU133" s="18"/>
      <c r="IV133" s="18"/>
    </row>
    <row r="134" spans="1:256" ht="12.75">
      <c r="A134" s="29"/>
      <c r="B134" s="29"/>
      <c r="C134" s="29"/>
      <c r="D134" s="29"/>
      <c r="E134" s="29"/>
      <c r="F134" s="29"/>
      <c r="G134" s="29"/>
      <c r="H134" s="29"/>
      <c r="I134" s="29"/>
      <c r="J134" s="29"/>
      <c r="K134" s="39"/>
      <c r="L134" s="39"/>
      <c r="M134" s="39"/>
      <c r="N134" s="39"/>
      <c r="O134" s="39"/>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c r="IN134" s="18"/>
      <c r="IO134" s="18"/>
      <c r="IP134" s="18"/>
      <c r="IQ134" s="18"/>
      <c r="IR134" s="18"/>
      <c r="IS134" s="18"/>
      <c r="IT134" s="18"/>
      <c r="IU134" s="18"/>
      <c r="IV134" s="18"/>
    </row>
    <row r="135" spans="1:256" ht="12.75">
      <c r="A135" s="29"/>
      <c r="B135" s="29"/>
      <c r="C135" s="29"/>
      <c r="D135" s="29"/>
      <c r="E135" s="29"/>
      <c r="F135" s="29"/>
      <c r="G135" s="29"/>
      <c r="H135" s="29"/>
      <c r="I135" s="29"/>
      <c r="J135" s="29"/>
      <c r="K135" s="39"/>
      <c r="L135" s="39"/>
      <c r="M135" s="39"/>
      <c r="N135" s="39"/>
      <c r="O135" s="39"/>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c r="II135" s="18"/>
      <c r="IJ135" s="18"/>
      <c r="IK135" s="18"/>
      <c r="IL135" s="18"/>
      <c r="IM135" s="18"/>
      <c r="IN135" s="18"/>
      <c r="IO135" s="18"/>
      <c r="IP135" s="18"/>
      <c r="IQ135" s="18"/>
      <c r="IR135" s="18"/>
      <c r="IS135" s="18"/>
      <c r="IT135" s="18"/>
      <c r="IU135" s="18"/>
      <c r="IV135" s="18"/>
    </row>
    <row r="136" spans="1:256" ht="12.75">
      <c r="A136" s="29"/>
      <c r="B136" s="29"/>
      <c r="C136" s="29"/>
      <c r="D136" s="29"/>
      <c r="E136" s="29"/>
      <c r="F136" s="29"/>
      <c r="G136" s="29"/>
      <c r="H136" s="29"/>
      <c r="I136" s="29"/>
      <c r="J136" s="29"/>
      <c r="K136" s="39"/>
      <c r="L136" s="39"/>
      <c r="M136" s="39"/>
      <c r="N136" s="39"/>
      <c r="O136" s="39"/>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18"/>
      <c r="IV136" s="18"/>
    </row>
    <row r="137" spans="1:256" ht="12.75">
      <c r="A137" s="29"/>
      <c r="B137" s="29"/>
      <c r="C137" s="29"/>
      <c r="D137" s="29"/>
      <c r="E137" s="29"/>
      <c r="F137" s="29"/>
      <c r="G137" s="29"/>
      <c r="H137" s="29"/>
      <c r="I137" s="29"/>
      <c r="J137" s="29"/>
      <c r="K137" s="39"/>
      <c r="L137" s="39"/>
      <c r="M137" s="39"/>
      <c r="N137" s="39"/>
      <c r="O137" s="39"/>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c r="HU137" s="18"/>
      <c r="HV137" s="18"/>
      <c r="HW137" s="18"/>
      <c r="HX137" s="18"/>
      <c r="HY137" s="18"/>
      <c r="HZ137" s="18"/>
      <c r="IA137" s="18"/>
      <c r="IB137" s="18"/>
      <c r="IC137" s="18"/>
      <c r="ID137" s="18"/>
      <c r="IE137" s="18"/>
      <c r="IF137" s="18"/>
      <c r="IG137" s="18"/>
      <c r="IH137" s="18"/>
      <c r="II137" s="18"/>
      <c r="IJ137" s="18"/>
      <c r="IK137" s="18"/>
      <c r="IL137" s="18"/>
      <c r="IM137" s="18"/>
      <c r="IN137" s="18"/>
      <c r="IO137" s="18"/>
      <c r="IP137" s="18"/>
      <c r="IQ137" s="18"/>
      <c r="IR137" s="18"/>
      <c r="IS137" s="18"/>
      <c r="IT137" s="18"/>
      <c r="IU137" s="18"/>
      <c r="IV137" s="18"/>
    </row>
    <row r="138" spans="1:256" ht="12.75">
      <c r="A138" s="29"/>
      <c r="B138" s="29"/>
      <c r="C138" s="29"/>
      <c r="D138" s="29"/>
      <c r="E138" s="29"/>
      <c r="F138" s="29"/>
      <c r="G138" s="29"/>
      <c r="H138" s="29"/>
      <c r="I138" s="29"/>
      <c r="J138" s="29"/>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c r="IG138" s="18"/>
      <c r="IH138" s="18"/>
      <c r="II138" s="18"/>
      <c r="IJ138" s="18"/>
      <c r="IK138" s="18"/>
      <c r="IL138" s="18"/>
      <c r="IM138" s="18"/>
      <c r="IN138" s="18"/>
      <c r="IO138" s="18"/>
      <c r="IP138" s="18"/>
      <c r="IQ138" s="18"/>
      <c r="IR138" s="18"/>
      <c r="IS138" s="18"/>
      <c r="IT138" s="18"/>
      <c r="IU138" s="18"/>
      <c r="IV138" s="18"/>
    </row>
    <row r="139" spans="1:256" ht="12.75">
      <c r="A139" s="29"/>
      <c r="B139" s="29"/>
      <c r="C139" s="29"/>
      <c r="D139" s="29"/>
      <c r="E139" s="29"/>
      <c r="F139" s="29"/>
      <c r="G139" s="29"/>
      <c r="H139" s="29"/>
      <c r="I139" s="29"/>
      <c r="J139" s="29"/>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c r="IG139" s="18"/>
      <c r="IH139" s="18"/>
      <c r="II139" s="18"/>
      <c r="IJ139" s="18"/>
      <c r="IK139" s="18"/>
      <c r="IL139" s="18"/>
      <c r="IM139" s="18"/>
      <c r="IN139" s="18"/>
      <c r="IO139" s="18"/>
      <c r="IP139" s="18"/>
      <c r="IQ139" s="18"/>
      <c r="IR139" s="18"/>
      <c r="IS139" s="18"/>
      <c r="IT139" s="18"/>
      <c r="IU139" s="18"/>
      <c r="IV139" s="18"/>
    </row>
    <row r="140" spans="1:256" ht="12.75">
      <c r="A140" s="29"/>
      <c r="B140" s="29"/>
      <c r="C140" s="29"/>
      <c r="D140" s="29"/>
      <c r="E140" s="29"/>
      <c r="F140" s="29"/>
      <c r="G140" s="29"/>
      <c r="H140" s="29"/>
      <c r="I140" s="29"/>
      <c r="J140" s="29"/>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c r="IO140" s="18"/>
      <c r="IP140" s="18"/>
      <c r="IQ140" s="18"/>
      <c r="IR140" s="18"/>
      <c r="IS140" s="18"/>
      <c r="IT140" s="18"/>
      <c r="IU140" s="18"/>
      <c r="IV140" s="18"/>
    </row>
    <row r="141" spans="1:256" ht="12.75">
      <c r="A141" s="29"/>
      <c r="B141" s="29"/>
      <c r="C141" s="29"/>
      <c r="D141" s="29"/>
      <c r="E141" s="29"/>
      <c r="F141" s="29"/>
      <c r="G141" s="29"/>
      <c r="H141" s="29"/>
      <c r="I141" s="29"/>
      <c r="J141" s="29"/>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c r="HX141" s="18"/>
      <c r="HY141" s="18"/>
      <c r="HZ141" s="18"/>
      <c r="IA141" s="18"/>
      <c r="IB141" s="18"/>
      <c r="IC141" s="18"/>
      <c r="ID141" s="18"/>
      <c r="IE141" s="18"/>
      <c r="IF141" s="18"/>
      <c r="IG141" s="18"/>
      <c r="IH141" s="18"/>
      <c r="II141" s="18"/>
      <c r="IJ141" s="18"/>
      <c r="IK141" s="18"/>
      <c r="IL141" s="18"/>
      <c r="IM141" s="18"/>
      <c r="IN141" s="18"/>
      <c r="IO141" s="18"/>
      <c r="IP141" s="18"/>
      <c r="IQ141" s="18"/>
      <c r="IR141" s="18"/>
      <c r="IS141" s="18"/>
      <c r="IT141" s="18"/>
      <c r="IU141" s="18"/>
      <c r="IV141" s="18"/>
    </row>
    <row r="142" spans="1:256" ht="12.75">
      <c r="A142" s="29"/>
      <c r="B142" s="29"/>
      <c r="C142" s="29"/>
      <c r="D142" s="29"/>
      <c r="E142" s="29"/>
      <c r="F142" s="29"/>
      <c r="G142" s="29"/>
      <c r="H142" s="29"/>
      <c r="I142" s="29"/>
      <c r="J142" s="29"/>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c r="IG142" s="18"/>
      <c r="IH142" s="18"/>
      <c r="II142" s="18"/>
      <c r="IJ142" s="18"/>
      <c r="IK142" s="18"/>
      <c r="IL142" s="18"/>
      <c r="IM142" s="18"/>
      <c r="IN142" s="18"/>
      <c r="IO142" s="18"/>
      <c r="IP142" s="18"/>
      <c r="IQ142" s="18"/>
      <c r="IR142" s="18"/>
      <c r="IS142" s="18"/>
      <c r="IT142" s="18"/>
      <c r="IU142" s="18"/>
      <c r="IV142" s="18"/>
    </row>
    <row r="143" spans="1:256" ht="12.75">
      <c r="A143" s="29"/>
      <c r="B143" s="29"/>
      <c r="C143" s="29"/>
      <c r="D143" s="29"/>
      <c r="E143" s="29"/>
      <c r="F143" s="29"/>
      <c r="G143" s="29"/>
      <c r="H143" s="29"/>
      <c r="I143" s="29"/>
      <c r="J143" s="29"/>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c r="IJ143" s="18"/>
      <c r="IK143" s="18"/>
      <c r="IL143" s="18"/>
      <c r="IM143" s="18"/>
      <c r="IN143" s="18"/>
      <c r="IO143" s="18"/>
      <c r="IP143" s="18"/>
      <c r="IQ143" s="18"/>
      <c r="IR143" s="18"/>
      <c r="IS143" s="18"/>
      <c r="IT143" s="18"/>
      <c r="IU143" s="18"/>
      <c r="IV143" s="18"/>
    </row>
    <row r="144" spans="1:256" ht="12.75">
      <c r="A144" s="29"/>
      <c r="B144" s="29"/>
      <c r="C144" s="29"/>
      <c r="D144" s="29"/>
      <c r="E144" s="29"/>
      <c r="F144" s="29"/>
      <c r="G144" s="29"/>
      <c r="H144" s="29"/>
      <c r="I144" s="29"/>
      <c r="J144" s="29"/>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c r="IJ144" s="18"/>
      <c r="IK144" s="18"/>
      <c r="IL144" s="18"/>
      <c r="IM144" s="18"/>
      <c r="IN144" s="18"/>
      <c r="IO144" s="18"/>
      <c r="IP144" s="18"/>
      <c r="IQ144" s="18"/>
      <c r="IR144" s="18"/>
      <c r="IS144" s="18"/>
      <c r="IT144" s="18"/>
      <c r="IU144" s="18"/>
      <c r="IV144" s="18"/>
    </row>
    <row r="145" spans="1:256" ht="12.75">
      <c r="A145" s="29"/>
      <c r="B145" s="29"/>
      <c r="C145" s="29"/>
      <c r="D145" s="29"/>
      <c r="E145" s="29"/>
      <c r="F145" s="29"/>
      <c r="G145" s="29"/>
      <c r="H145" s="29"/>
      <c r="I145" s="29"/>
      <c r="J145" s="29"/>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c r="HQ145" s="18"/>
      <c r="HR145" s="18"/>
      <c r="HS145" s="18"/>
      <c r="HT145" s="18"/>
      <c r="HU145" s="18"/>
      <c r="HV145" s="18"/>
      <c r="HW145" s="18"/>
      <c r="HX145" s="18"/>
      <c r="HY145" s="18"/>
      <c r="HZ145" s="18"/>
      <c r="IA145" s="18"/>
      <c r="IB145" s="18"/>
      <c r="IC145" s="18"/>
      <c r="ID145" s="18"/>
      <c r="IE145" s="18"/>
      <c r="IF145" s="18"/>
      <c r="IG145" s="18"/>
      <c r="IH145" s="18"/>
      <c r="II145" s="18"/>
      <c r="IJ145" s="18"/>
      <c r="IK145" s="18"/>
      <c r="IL145" s="18"/>
      <c r="IM145" s="18"/>
      <c r="IN145" s="18"/>
      <c r="IO145" s="18"/>
      <c r="IP145" s="18"/>
      <c r="IQ145" s="18"/>
      <c r="IR145" s="18"/>
      <c r="IS145" s="18"/>
      <c r="IT145" s="18"/>
      <c r="IU145" s="18"/>
      <c r="IV145" s="18"/>
    </row>
    <row r="146" spans="1:256" ht="12.75">
      <c r="A146" s="29"/>
      <c r="B146" s="29"/>
      <c r="C146" s="29"/>
      <c r="D146" s="29"/>
      <c r="E146" s="29"/>
      <c r="F146" s="29"/>
      <c r="G146" s="29"/>
      <c r="H146" s="29"/>
      <c r="I146" s="29"/>
      <c r="J146" s="29"/>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c r="IG146" s="18"/>
      <c r="IH146" s="18"/>
      <c r="II146" s="18"/>
      <c r="IJ146" s="18"/>
      <c r="IK146" s="18"/>
      <c r="IL146" s="18"/>
      <c r="IM146" s="18"/>
      <c r="IN146" s="18"/>
      <c r="IO146" s="18"/>
      <c r="IP146" s="18"/>
      <c r="IQ146" s="18"/>
      <c r="IR146" s="18"/>
      <c r="IS146" s="18"/>
      <c r="IT146" s="18"/>
      <c r="IU146" s="18"/>
      <c r="IV146" s="18"/>
    </row>
    <row r="147" spans="1:256" ht="12.75">
      <c r="A147" s="29"/>
      <c r="B147" s="29"/>
      <c r="C147" s="29"/>
      <c r="D147" s="29"/>
      <c r="E147" s="29"/>
      <c r="F147" s="29"/>
      <c r="G147" s="29"/>
      <c r="H147" s="29"/>
      <c r="I147" s="29"/>
      <c r="J147" s="29"/>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c r="HY147" s="18"/>
      <c r="HZ147" s="18"/>
      <c r="IA147" s="18"/>
      <c r="IB147" s="18"/>
      <c r="IC147" s="18"/>
      <c r="ID147" s="18"/>
      <c r="IE147" s="18"/>
      <c r="IF147" s="18"/>
      <c r="IG147" s="18"/>
      <c r="IH147" s="18"/>
      <c r="II147" s="18"/>
      <c r="IJ147" s="18"/>
      <c r="IK147" s="18"/>
      <c r="IL147" s="18"/>
      <c r="IM147" s="18"/>
      <c r="IN147" s="18"/>
      <c r="IO147" s="18"/>
      <c r="IP147" s="18"/>
      <c r="IQ147" s="18"/>
      <c r="IR147" s="18"/>
      <c r="IS147" s="18"/>
      <c r="IT147" s="18"/>
      <c r="IU147" s="18"/>
      <c r="IV147" s="18"/>
    </row>
    <row r="148" spans="1:256" ht="12.75">
      <c r="A148" s="29"/>
      <c r="B148" s="29"/>
      <c r="C148" s="29"/>
      <c r="D148" s="29"/>
      <c r="E148" s="29"/>
      <c r="F148" s="29"/>
      <c r="G148" s="29"/>
      <c r="H148" s="29"/>
      <c r="I148" s="29"/>
      <c r="J148" s="29"/>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c r="HQ148" s="18"/>
      <c r="HR148" s="18"/>
      <c r="HS148" s="18"/>
      <c r="HT148" s="18"/>
      <c r="HU148" s="18"/>
      <c r="HV148" s="18"/>
      <c r="HW148" s="18"/>
      <c r="HX148" s="18"/>
      <c r="HY148" s="18"/>
      <c r="HZ148" s="18"/>
      <c r="IA148" s="18"/>
      <c r="IB148" s="18"/>
      <c r="IC148" s="18"/>
      <c r="ID148" s="18"/>
      <c r="IE148" s="18"/>
      <c r="IF148" s="18"/>
      <c r="IG148" s="18"/>
      <c r="IH148" s="18"/>
      <c r="II148" s="18"/>
      <c r="IJ148" s="18"/>
      <c r="IK148" s="18"/>
      <c r="IL148" s="18"/>
      <c r="IM148" s="18"/>
      <c r="IN148" s="18"/>
      <c r="IO148" s="18"/>
      <c r="IP148" s="18"/>
      <c r="IQ148" s="18"/>
      <c r="IR148" s="18"/>
      <c r="IS148" s="18"/>
      <c r="IT148" s="18"/>
      <c r="IU148" s="18"/>
      <c r="IV148" s="18"/>
    </row>
    <row r="149" spans="1:256" ht="12.75">
      <c r="A149" s="29"/>
      <c r="B149" s="29"/>
      <c r="C149" s="29"/>
      <c r="D149" s="29"/>
      <c r="E149" s="29"/>
      <c r="F149" s="29"/>
      <c r="G149" s="29"/>
      <c r="H149" s="29"/>
      <c r="I149" s="29"/>
      <c r="J149" s="29"/>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c r="HQ149" s="18"/>
      <c r="HR149" s="18"/>
      <c r="HS149" s="18"/>
      <c r="HT149" s="18"/>
      <c r="HU149" s="18"/>
      <c r="HV149" s="18"/>
      <c r="HW149" s="18"/>
      <c r="HX149" s="18"/>
      <c r="HY149" s="18"/>
      <c r="HZ149" s="18"/>
      <c r="IA149" s="18"/>
      <c r="IB149" s="18"/>
      <c r="IC149" s="18"/>
      <c r="ID149" s="18"/>
      <c r="IE149" s="18"/>
      <c r="IF149" s="18"/>
      <c r="IG149" s="18"/>
      <c r="IH149" s="18"/>
      <c r="II149" s="18"/>
      <c r="IJ149" s="18"/>
      <c r="IK149" s="18"/>
      <c r="IL149" s="18"/>
      <c r="IM149" s="18"/>
      <c r="IN149" s="18"/>
      <c r="IO149" s="18"/>
      <c r="IP149" s="18"/>
      <c r="IQ149" s="18"/>
      <c r="IR149" s="18"/>
      <c r="IS149" s="18"/>
      <c r="IT149" s="18"/>
      <c r="IU149" s="18"/>
      <c r="IV149" s="18"/>
    </row>
    <row r="150" spans="1:256" ht="12.75">
      <c r="A150" s="29"/>
      <c r="B150" s="29"/>
      <c r="C150" s="29"/>
      <c r="D150" s="29"/>
      <c r="E150" s="29"/>
      <c r="F150" s="29"/>
      <c r="G150" s="29"/>
      <c r="H150" s="29"/>
      <c r="I150" s="29"/>
      <c r="J150" s="29"/>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c r="HQ150" s="18"/>
      <c r="HR150" s="18"/>
      <c r="HS150" s="18"/>
      <c r="HT150" s="18"/>
      <c r="HU150" s="18"/>
      <c r="HV150" s="18"/>
      <c r="HW150" s="18"/>
      <c r="HX150" s="18"/>
      <c r="HY150" s="18"/>
      <c r="HZ150" s="18"/>
      <c r="IA150" s="18"/>
      <c r="IB150" s="18"/>
      <c r="IC150" s="18"/>
      <c r="ID150" s="18"/>
      <c r="IE150" s="18"/>
      <c r="IF150" s="18"/>
      <c r="IG150" s="18"/>
      <c r="IH150" s="18"/>
      <c r="II150" s="18"/>
      <c r="IJ150" s="18"/>
      <c r="IK150" s="18"/>
      <c r="IL150" s="18"/>
      <c r="IM150" s="18"/>
      <c r="IN150" s="18"/>
      <c r="IO150" s="18"/>
      <c r="IP150" s="18"/>
      <c r="IQ150" s="18"/>
      <c r="IR150" s="18"/>
      <c r="IS150" s="18"/>
      <c r="IT150" s="18"/>
      <c r="IU150" s="18"/>
      <c r="IV150" s="18"/>
    </row>
    <row r="151" spans="1:256" ht="12.75">
      <c r="A151" s="29"/>
      <c r="B151" s="29"/>
      <c r="C151" s="29"/>
      <c r="D151" s="29"/>
      <c r="E151" s="29"/>
      <c r="F151" s="29"/>
      <c r="G151" s="29"/>
      <c r="H151" s="29"/>
      <c r="I151" s="29"/>
      <c r="J151" s="29"/>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c r="HQ151" s="18"/>
      <c r="HR151" s="18"/>
      <c r="HS151" s="18"/>
      <c r="HT151" s="18"/>
      <c r="HU151" s="18"/>
      <c r="HV151" s="18"/>
      <c r="HW151" s="18"/>
      <c r="HX151" s="18"/>
      <c r="HY151" s="18"/>
      <c r="HZ151" s="18"/>
      <c r="IA151" s="18"/>
      <c r="IB151" s="18"/>
      <c r="IC151" s="18"/>
      <c r="ID151" s="18"/>
      <c r="IE151" s="18"/>
      <c r="IF151" s="18"/>
      <c r="IG151" s="18"/>
      <c r="IH151" s="18"/>
      <c r="II151" s="18"/>
      <c r="IJ151" s="18"/>
      <c r="IK151" s="18"/>
      <c r="IL151" s="18"/>
      <c r="IM151" s="18"/>
      <c r="IN151" s="18"/>
      <c r="IO151" s="18"/>
      <c r="IP151" s="18"/>
      <c r="IQ151" s="18"/>
      <c r="IR151" s="18"/>
      <c r="IS151" s="18"/>
      <c r="IT151" s="18"/>
      <c r="IU151" s="18"/>
      <c r="IV151" s="18"/>
    </row>
    <row r="152" spans="1:256" ht="12.75">
      <c r="A152" s="29"/>
      <c r="B152" s="29"/>
      <c r="C152" s="29"/>
      <c r="D152" s="29"/>
      <c r="E152" s="29"/>
      <c r="F152" s="29"/>
      <c r="G152" s="29"/>
      <c r="H152" s="29"/>
      <c r="I152" s="29"/>
      <c r="J152" s="29"/>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c r="HY152" s="18"/>
      <c r="HZ152" s="18"/>
      <c r="IA152" s="18"/>
      <c r="IB152" s="18"/>
      <c r="IC152" s="18"/>
      <c r="ID152" s="18"/>
      <c r="IE152" s="18"/>
      <c r="IF152" s="18"/>
      <c r="IG152" s="18"/>
      <c r="IH152" s="18"/>
      <c r="II152" s="18"/>
      <c r="IJ152" s="18"/>
      <c r="IK152" s="18"/>
      <c r="IL152" s="18"/>
      <c r="IM152" s="18"/>
      <c r="IN152" s="18"/>
      <c r="IO152" s="18"/>
      <c r="IP152" s="18"/>
      <c r="IQ152" s="18"/>
      <c r="IR152" s="18"/>
      <c r="IS152" s="18"/>
      <c r="IT152" s="18"/>
      <c r="IU152" s="18"/>
      <c r="IV152" s="18"/>
    </row>
    <row r="153" spans="1:256" ht="12.75">
      <c r="A153" s="29"/>
      <c r="B153" s="29"/>
      <c r="C153" s="29"/>
      <c r="D153" s="29"/>
      <c r="E153" s="29"/>
      <c r="F153" s="29"/>
      <c r="G153" s="29"/>
      <c r="H153" s="29"/>
      <c r="I153" s="29"/>
      <c r="J153" s="29"/>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c r="HY153" s="18"/>
      <c r="HZ153" s="18"/>
      <c r="IA153" s="18"/>
      <c r="IB153" s="18"/>
      <c r="IC153" s="18"/>
      <c r="ID153" s="18"/>
      <c r="IE153" s="18"/>
      <c r="IF153" s="18"/>
      <c r="IG153" s="18"/>
      <c r="IH153" s="18"/>
      <c r="II153" s="18"/>
      <c r="IJ153" s="18"/>
      <c r="IK153" s="18"/>
      <c r="IL153" s="18"/>
      <c r="IM153" s="18"/>
      <c r="IN153" s="18"/>
      <c r="IO153" s="18"/>
      <c r="IP153" s="18"/>
      <c r="IQ153" s="18"/>
      <c r="IR153" s="18"/>
      <c r="IS153" s="18"/>
      <c r="IT153" s="18"/>
      <c r="IU153" s="18"/>
      <c r="IV153" s="18"/>
    </row>
    <row r="154" spans="1:256" ht="12.75">
      <c r="A154" s="29"/>
      <c r="B154" s="29"/>
      <c r="C154" s="29"/>
      <c r="D154" s="29"/>
      <c r="E154" s="29"/>
      <c r="F154" s="29"/>
      <c r="G154" s="29"/>
      <c r="H154" s="29"/>
      <c r="I154" s="29"/>
      <c r="J154" s="29"/>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c r="IG154" s="18"/>
      <c r="IH154" s="18"/>
      <c r="II154" s="18"/>
      <c r="IJ154" s="18"/>
      <c r="IK154" s="18"/>
      <c r="IL154" s="18"/>
      <c r="IM154" s="18"/>
      <c r="IN154" s="18"/>
      <c r="IO154" s="18"/>
      <c r="IP154" s="18"/>
      <c r="IQ154" s="18"/>
      <c r="IR154" s="18"/>
      <c r="IS154" s="18"/>
      <c r="IT154" s="18"/>
      <c r="IU154" s="18"/>
      <c r="IV154" s="18"/>
    </row>
    <row r="155" spans="1:256" ht="12.75">
      <c r="A155" s="29"/>
      <c r="B155" s="29"/>
      <c r="C155" s="29"/>
      <c r="D155" s="29"/>
      <c r="E155" s="29"/>
      <c r="F155" s="29"/>
      <c r="G155" s="29"/>
      <c r="H155" s="29"/>
      <c r="I155" s="29"/>
      <c r="J155" s="29"/>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18"/>
      <c r="IT155" s="18"/>
      <c r="IU155" s="18"/>
      <c r="IV155" s="18"/>
    </row>
    <row r="156" spans="1:256" ht="12.75">
      <c r="A156" s="29"/>
      <c r="B156" s="29"/>
      <c r="C156" s="29"/>
      <c r="D156" s="29"/>
      <c r="E156" s="29"/>
      <c r="F156" s="29"/>
      <c r="G156" s="29"/>
      <c r="H156" s="29"/>
      <c r="I156" s="29"/>
      <c r="J156" s="29"/>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c r="IS156" s="18"/>
      <c r="IT156" s="18"/>
      <c r="IU156" s="18"/>
      <c r="IV156" s="18"/>
    </row>
    <row r="157" spans="1:256" ht="12.75">
      <c r="A157" s="29"/>
      <c r="B157" s="29"/>
      <c r="C157" s="29"/>
      <c r="D157" s="29"/>
      <c r="E157" s="29"/>
      <c r="F157" s="29"/>
      <c r="G157" s="29"/>
      <c r="H157" s="29"/>
      <c r="I157" s="29"/>
      <c r="J157" s="29"/>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c r="HY157" s="18"/>
      <c r="HZ157" s="18"/>
      <c r="IA157" s="18"/>
      <c r="IB157" s="18"/>
      <c r="IC157" s="18"/>
      <c r="ID157" s="18"/>
      <c r="IE157" s="18"/>
      <c r="IF157" s="18"/>
      <c r="IG157" s="18"/>
      <c r="IH157" s="18"/>
      <c r="II157" s="18"/>
      <c r="IJ157" s="18"/>
      <c r="IK157" s="18"/>
      <c r="IL157" s="18"/>
      <c r="IM157" s="18"/>
      <c r="IN157" s="18"/>
      <c r="IO157" s="18"/>
      <c r="IP157" s="18"/>
      <c r="IQ157" s="18"/>
      <c r="IR157" s="18"/>
      <c r="IS157" s="18"/>
      <c r="IT157" s="18"/>
      <c r="IU157" s="18"/>
      <c r="IV157" s="18"/>
    </row>
    <row r="158" spans="1:256" ht="12.75">
      <c r="A158" s="29"/>
      <c r="B158" s="29"/>
      <c r="C158" s="29"/>
      <c r="D158" s="29"/>
      <c r="E158" s="29"/>
      <c r="F158" s="29"/>
      <c r="G158" s="29"/>
      <c r="H158" s="29"/>
      <c r="I158" s="29"/>
      <c r="J158" s="29"/>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c r="HY158" s="18"/>
      <c r="HZ158" s="18"/>
      <c r="IA158" s="18"/>
      <c r="IB158" s="18"/>
      <c r="IC158" s="18"/>
      <c r="ID158" s="18"/>
      <c r="IE158" s="18"/>
      <c r="IF158" s="18"/>
      <c r="IG158" s="18"/>
      <c r="IH158" s="18"/>
      <c r="II158" s="18"/>
      <c r="IJ158" s="18"/>
      <c r="IK158" s="18"/>
      <c r="IL158" s="18"/>
      <c r="IM158" s="18"/>
      <c r="IN158" s="18"/>
      <c r="IO158" s="18"/>
      <c r="IP158" s="18"/>
      <c r="IQ158" s="18"/>
      <c r="IR158" s="18"/>
      <c r="IS158" s="18"/>
      <c r="IT158" s="18"/>
      <c r="IU158" s="18"/>
      <c r="IV158" s="18"/>
    </row>
    <row r="159" spans="1:256" ht="12.75">
      <c r="A159" s="29"/>
      <c r="B159" s="29"/>
      <c r="C159" s="29"/>
      <c r="D159" s="29"/>
      <c r="E159" s="29"/>
      <c r="F159" s="29"/>
      <c r="G159" s="29"/>
      <c r="H159" s="29"/>
      <c r="I159" s="29"/>
      <c r="J159" s="29"/>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8"/>
      <c r="ID159" s="18"/>
      <c r="IE159" s="18"/>
      <c r="IF159" s="18"/>
      <c r="IG159" s="18"/>
      <c r="IH159" s="18"/>
      <c r="II159" s="18"/>
      <c r="IJ159" s="18"/>
      <c r="IK159" s="18"/>
      <c r="IL159" s="18"/>
      <c r="IM159" s="18"/>
      <c r="IN159" s="18"/>
      <c r="IO159" s="18"/>
      <c r="IP159" s="18"/>
      <c r="IQ159" s="18"/>
      <c r="IR159" s="18"/>
      <c r="IS159" s="18"/>
      <c r="IT159" s="18"/>
      <c r="IU159" s="18"/>
      <c r="IV159" s="18"/>
    </row>
    <row r="160" spans="1:256" ht="12.75">
      <c r="A160" s="29"/>
      <c r="B160" s="29"/>
      <c r="C160" s="29"/>
      <c r="D160" s="29"/>
      <c r="E160" s="29"/>
      <c r="F160" s="29"/>
      <c r="G160" s="29"/>
      <c r="H160" s="29"/>
      <c r="I160" s="29"/>
      <c r="J160" s="29"/>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8"/>
      <c r="ID160" s="18"/>
      <c r="IE160" s="18"/>
      <c r="IF160" s="18"/>
      <c r="IG160" s="18"/>
      <c r="IH160" s="18"/>
      <c r="II160" s="18"/>
      <c r="IJ160" s="18"/>
      <c r="IK160" s="18"/>
      <c r="IL160" s="18"/>
      <c r="IM160" s="18"/>
      <c r="IN160" s="18"/>
      <c r="IO160" s="18"/>
      <c r="IP160" s="18"/>
      <c r="IQ160" s="18"/>
      <c r="IR160" s="18"/>
      <c r="IS160" s="18"/>
      <c r="IT160" s="18"/>
      <c r="IU160" s="18"/>
      <c r="IV160" s="18"/>
    </row>
    <row r="161" spans="1:256" ht="12.75">
      <c r="A161" s="29"/>
      <c r="B161" s="29"/>
      <c r="C161" s="29"/>
      <c r="D161" s="29"/>
      <c r="E161" s="29"/>
      <c r="F161" s="29"/>
      <c r="G161" s="29"/>
      <c r="H161" s="29"/>
      <c r="I161" s="29"/>
      <c r="J161" s="29"/>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c r="HO161" s="18"/>
      <c r="HP161" s="18"/>
      <c r="HQ161" s="18"/>
      <c r="HR161" s="18"/>
      <c r="HS161" s="18"/>
      <c r="HT161" s="18"/>
      <c r="HU161" s="18"/>
      <c r="HV161" s="18"/>
      <c r="HW161" s="18"/>
      <c r="HX161" s="18"/>
      <c r="HY161" s="18"/>
      <c r="HZ161" s="18"/>
      <c r="IA161" s="18"/>
      <c r="IB161" s="18"/>
      <c r="IC161" s="18"/>
      <c r="ID161" s="18"/>
      <c r="IE161" s="18"/>
      <c r="IF161" s="18"/>
      <c r="IG161" s="18"/>
      <c r="IH161" s="18"/>
      <c r="II161" s="18"/>
      <c r="IJ161" s="18"/>
      <c r="IK161" s="18"/>
      <c r="IL161" s="18"/>
      <c r="IM161" s="18"/>
      <c r="IN161" s="18"/>
      <c r="IO161" s="18"/>
      <c r="IP161" s="18"/>
      <c r="IQ161" s="18"/>
      <c r="IR161" s="18"/>
      <c r="IS161" s="18"/>
      <c r="IT161" s="18"/>
      <c r="IU161" s="18"/>
      <c r="IV161" s="18"/>
    </row>
    <row r="162" spans="1:256" ht="12.75">
      <c r="A162" s="29"/>
      <c r="B162" s="29"/>
      <c r="C162" s="29"/>
      <c r="D162" s="29"/>
      <c r="E162" s="29"/>
      <c r="F162" s="29"/>
      <c r="G162" s="29"/>
      <c r="H162" s="29"/>
      <c r="I162" s="29"/>
      <c r="J162" s="29"/>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c r="HO162" s="18"/>
      <c r="HP162" s="18"/>
      <c r="HQ162" s="18"/>
      <c r="HR162" s="18"/>
      <c r="HS162" s="18"/>
      <c r="HT162" s="18"/>
      <c r="HU162" s="18"/>
      <c r="HV162" s="18"/>
      <c r="HW162" s="18"/>
      <c r="HX162" s="18"/>
      <c r="HY162" s="18"/>
      <c r="HZ162" s="18"/>
      <c r="IA162" s="18"/>
      <c r="IB162" s="18"/>
      <c r="IC162" s="18"/>
      <c r="ID162" s="18"/>
      <c r="IE162" s="18"/>
      <c r="IF162" s="18"/>
      <c r="IG162" s="18"/>
      <c r="IH162" s="18"/>
      <c r="II162" s="18"/>
      <c r="IJ162" s="18"/>
      <c r="IK162" s="18"/>
      <c r="IL162" s="18"/>
      <c r="IM162" s="18"/>
      <c r="IN162" s="18"/>
      <c r="IO162" s="18"/>
      <c r="IP162" s="18"/>
      <c r="IQ162" s="18"/>
      <c r="IR162" s="18"/>
      <c r="IS162" s="18"/>
      <c r="IT162" s="18"/>
      <c r="IU162" s="18"/>
      <c r="IV162" s="18"/>
    </row>
    <row r="163" spans="1:256" ht="12.75">
      <c r="A163" s="29"/>
      <c r="B163" s="29"/>
      <c r="C163" s="29"/>
      <c r="D163" s="29"/>
      <c r="E163" s="29"/>
      <c r="F163" s="29"/>
      <c r="G163" s="29"/>
      <c r="H163" s="29"/>
      <c r="I163" s="29"/>
      <c r="J163" s="29"/>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row>
    <row r="164" spans="1:256" ht="12.75">
      <c r="A164" s="29"/>
      <c r="B164" s="29"/>
      <c r="C164" s="29"/>
      <c r="D164" s="29"/>
      <c r="E164" s="29"/>
      <c r="F164" s="29"/>
      <c r="G164" s="29"/>
      <c r="H164" s="29"/>
      <c r="I164" s="29"/>
      <c r="J164" s="29"/>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row>
    <row r="165" spans="1:256" ht="12.75">
      <c r="A165" s="29"/>
      <c r="B165" s="29"/>
      <c r="C165" s="29"/>
      <c r="D165" s="29"/>
      <c r="E165" s="29"/>
      <c r="F165" s="29"/>
      <c r="G165" s="29"/>
      <c r="H165" s="29"/>
      <c r="I165" s="29"/>
      <c r="J165" s="29"/>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c r="HQ165" s="18"/>
      <c r="HR165" s="18"/>
      <c r="HS165" s="18"/>
      <c r="HT165" s="18"/>
      <c r="HU165" s="18"/>
      <c r="HV165" s="18"/>
      <c r="HW165" s="18"/>
      <c r="HX165" s="18"/>
      <c r="HY165" s="18"/>
      <c r="HZ165" s="18"/>
      <c r="IA165" s="18"/>
      <c r="IB165" s="18"/>
      <c r="IC165" s="18"/>
      <c r="ID165" s="18"/>
      <c r="IE165" s="18"/>
      <c r="IF165" s="18"/>
      <c r="IG165" s="18"/>
      <c r="IH165" s="18"/>
      <c r="II165" s="18"/>
      <c r="IJ165" s="18"/>
      <c r="IK165" s="18"/>
      <c r="IL165" s="18"/>
      <c r="IM165" s="18"/>
      <c r="IN165" s="18"/>
      <c r="IO165" s="18"/>
      <c r="IP165" s="18"/>
      <c r="IQ165" s="18"/>
      <c r="IR165" s="18"/>
      <c r="IS165" s="18"/>
      <c r="IT165" s="18"/>
      <c r="IU165" s="18"/>
      <c r="IV165" s="18"/>
    </row>
    <row r="166" spans="1:256" ht="12.75">
      <c r="A166" s="29"/>
      <c r="B166" s="29"/>
      <c r="C166" s="29"/>
      <c r="D166" s="29"/>
      <c r="E166" s="29"/>
      <c r="F166" s="29"/>
      <c r="G166" s="29"/>
      <c r="H166" s="29"/>
      <c r="I166" s="29"/>
      <c r="J166" s="29"/>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c r="IG166" s="18"/>
      <c r="IH166" s="18"/>
      <c r="II166" s="18"/>
      <c r="IJ166" s="18"/>
      <c r="IK166" s="18"/>
      <c r="IL166" s="18"/>
      <c r="IM166" s="18"/>
      <c r="IN166" s="18"/>
      <c r="IO166" s="18"/>
      <c r="IP166" s="18"/>
      <c r="IQ166" s="18"/>
      <c r="IR166" s="18"/>
      <c r="IS166" s="18"/>
      <c r="IT166" s="18"/>
      <c r="IU166" s="18"/>
      <c r="IV166" s="18"/>
    </row>
    <row r="167" spans="1:256" ht="12.75">
      <c r="A167" s="29"/>
      <c r="B167" s="29"/>
      <c r="C167" s="29"/>
      <c r="D167" s="29"/>
      <c r="E167" s="29"/>
      <c r="F167" s="29"/>
      <c r="G167" s="29"/>
      <c r="H167" s="29"/>
      <c r="I167" s="29"/>
      <c r="J167" s="29"/>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c r="HX167" s="18"/>
      <c r="HY167" s="18"/>
      <c r="HZ167" s="18"/>
      <c r="IA167" s="18"/>
      <c r="IB167" s="18"/>
      <c r="IC167" s="18"/>
      <c r="ID167" s="18"/>
      <c r="IE167" s="18"/>
      <c r="IF167" s="18"/>
      <c r="IG167" s="18"/>
      <c r="IH167" s="18"/>
      <c r="II167" s="18"/>
      <c r="IJ167" s="18"/>
      <c r="IK167" s="18"/>
      <c r="IL167" s="18"/>
      <c r="IM167" s="18"/>
      <c r="IN167" s="18"/>
      <c r="IO167" s="18"/>
      <c r="IP167" s="18"/>
      <c r="IQ167" s="18"/>
      <c r="IR167" s="18"/>
      <c r="IS167" s="18"/>
      <c r="IT167" s="18"/>
      <c r="IU167" s="18"/>
      <c r="IV167" s="18"/>
    </row>
    <row r="168" spans="1:256" ht="12.75">
      <c r="A168" s="29"/>
      <c r="B168" s="29"/>
      <c r="C168" s="29"/>
      <c r="D168" s="29"/>
      <c r="E168" s="29"/>
      <c r="F168" s="29"/>
      <c r="G168" s="29"/>
      <c r="H168" s="29"/>
      <c r="I168" s="29"/>
      <c r="J168" s="29"/>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c r="HX168" s="18"/>
      <c r="HY168" s="18"/>
      <c r="HZ168" s="18"/>
      <c r="IA168" s="18"/>
      <c r="IB168" s="18"/>
      <c r="IC168" s="18"/>
      <c r="ID168" s="18"/>
      <c r="IE168" s="18"/>
      <c r="IF168" s="18"/>
      <c r="IG168" s="18"/>
      <c r="IH168" s="18"/>
      <c r="II168" s="18"/>
      <c r="IJ168" s="18"/>
      <c r="IK168" s="18"/>
      <c r="IL168" s="18"/>
      <c r="IM168" s="18"/>
      <c r="IN168" s="18"/>
      <c r="IO168" s="18"/>
      <c r="IP168" s="18"/>
      <c r="IQ168" s="18"/>
      <c r="IR168" s="18"/>
      <c r="IS168" s="18"/>
      <c r="IT168" s="18"/>
      <c r="IU168" s="18"/>
      <c r="IV168" s="18"/>
    </row>
    <row r="169" spans="1:256" ht="12.75">
      <c r="A169" s="29"/>
      <c r="B169" s="29"/>
      <c r="C169" s="29"/>
      <c r="D169" s="29"/>
      <c r="E169" s="29"/>
      <c r="F169" s="29"/>
      <c r="G169" s="29"/>
      <c r="H169" s="29"/>
      <c r="I169" s="29"/>
      <c r="J169" s="29"/>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row>
    <row r="170" spans="1:10" ht="12.75">
      <c r="A170" s="29"/>
      <c r="B170" s="29"/>
      <c r="C170" s="29"/>
      <c r="D170" s="29"/>
      <c r="E170" s="29"/>
      <c r="F170" s="29"/>
      <c r="G170" s="29"/>
      <c r="H170" s="29"/>
      <c r="I170" s="29"/>
      <c r="J170" s="29"/>
    </row>
    <row r="171" spans="1:10" ht="12.75">
      <c r="A171" s="29"/>
      <c r="B171" s="29"/>
      <c r="C171" s="29"/>
      <c r="D171" s="29"/>
      <c r="E171" s="29"/>
      <c r="F171" s="29"/>
      <c r="G171" s="29"/>
      <c r="H171" s="29"/>
      <c r="I171" s="29"/>
      <c r="J171" s="29"/>
    </row>
    <row r="172" spans="1:10" ht="12.75">
      <c r="A172" s="29"/>
      <c r="B172" s="29"/>
      <c r="C172" s="29"/>
      <c r="D172" s="29"/>
      <c r="E172" s="29"/>
      <c r="F172" s="29"/>
      <c r="G172" s="29"/>
      <c r="H172" s="29"/>
      <c r="I172" s="29"/>
      <c r="J172" s="29"/>
    </row>
    <row r="173" spans="1:10" ht="12.75">
      <c r="A173" s="29"/>
      <c r="B173" s="29"/>
      <c r="C173" s="29"/>
      <c r="D173" s="29"/>
      <c r="E173" s="29"/>
      <c r="F173" s="29"/>
      <c r="G173" s="29"/>
      <c r="H173" s="29"/>
      <c r="I173" s="29"/>
      <c r="J173" s="29"/>
    </row>
    <row r="174" spans="1:10" ht="12.75">
      <c r="A174" s="29"/>
      <c r="B174" s="29"/>
      <c r="C174" s="29"/>
      <c r="D174" s="29"/>
      <c r="E174" s="29"/>
      <c r="F174" s="29"/>
      <c r="G174" s="29"/>
      <c r="H174" s="29"/>
      <c r="I174" s="29"/>
      <c r="J174" s="29"/>
    </row>
    <row r="175" spans="1:10" ht="12.75">
      <c r="A175" s="29"/>
      <c r="B175" s="29"/>
      <c r="C175" s="29"/>
      <c r="D175" s="29"/>
      <c r="E175" s="29"/>
      <c r="F175" s="29"/>
      <c r="G175" s="29"/>
      <c r="H175" s="29"/>
      <c r="I175" s="29"/>
      <c r="J175" s="29"/>
    </row>
    <row r="176" spans="1:10" ht="12.75">
      <c r="A176" s="29"/>
      <c r="B176" s="29"/>
      <c r="C176" s="29"/>
      <c r="D176" s="29"/>
      <c r="E176" s="29"/>
      <c r="F176" s="29"/>
      <c r="G176" s="29"/>
      <c r="H176" s="29"/>
      <c r="I176" s="29"/>
      <c r="J176" s="29"/>
    </row>
    <row r="177" spans="1:10" ht="12.75">
      <c r="A177" s="29"/>
      <c r="B177" s="29"/>
      <c r="C177" s="29"/>
      <c r="D177" s="29"/>
      <c r="E177" s="29"/>
      <c r="F177" s="29"/>
      <c r="G177" s="29"/>
      <c r="H177" s="29"/>
      <c r="I177" s="29"/>
      <c r="J177" s="29"/>
    </row>
    <row r="178" spans="1:10" ht="12.75">
      <c r="A178" s="29"/>
      <c r="B178" s="29"/>
      <c r="C178" s="29"/>
      <c r="D178" s="29"/>
      <c r="E178" s="29"/>
      <c r="F178" s="29"/>
      <c r="G178" s="29"/>
      <c r="H178" s="29"/>
      <c r="I178" s="29"/>
      <c r="J178" s="29"/>
    </row>
    <row r="179" spans="1:10" ht="12.75">
      <c r="A179" s="29"/>
      <c r="B179" s="29"/>
      <c r="C179" s="29"/>
      <c r="D179" s="29"/>
      <c r="E179" s="29"/>
      <c r="F179" s="29"/>
      <c r="G179" s="29"/>
      <c r="H179" s="29"/>
      <c r="I179" s="29"/>
      <c r="J179" s="29"/>
    </row>
    <row r="180" spans="2:10" ht="12.75">
      <c r="B180" s="23"/>
      <c r="C180" s="23"/>
      <c r="D180" s="23"/>
      <c r="E180" s="23"/>
      <c r="F180" s="23"/>
      <c r="G180" s="23"/>
      <c r="H180" s="23"/>
      <c r="I180" s="23"/>
      <c r="J180" s="23"/>
    </row>
    <row r="181" spans="2:10" ht="12.75">
      <c r="B181" s="23"/>
      <c r="C181" s="23"/>
      <c r="D181" s="23"/>
      <c r="E181" s="23"/>
      <c r="F181" s="23"/>
      <c r="G181" s="23"/>
      <c r="H181" s="23"/>
      <c r="I181" s="23"/>
      <c r="J181" s="23"/>
    </row>
    <row r="182" spans="2:10" ht="12.75">
      <c r="B182" s="23"/>
      <c r="C182" s="23"/>
      <c r="D182" s="23"/>
      <c r="E182" s="23"/>
      <c r="F182" s="23"/>
      <c r="G182" s="23"/>
      <c r="H182" s="23"/>
      <c r="I182" s="23"/>
      <c r="J182" s="23"/>
    </row>
    <row r="183" spans="2:10" ht="12.75">
      <c r="B183" s="23"/>
      <c r="C183" s="23"/>
      <c r="D183" s="23"/>
      <c r="E183" s="23"/>
      <c r="F183" s="23"/>
      <c r="G183" s="23"/>
      <c r="H183" s="23"/>
      <c r="I183" s="23"/>
      <c r="J183" s="23"/>
    </row>
    <row r="184" spans="2:10" ht="12.75">
      <c r="B184" s="23"/>
      <c r="C184" s="23"/>
      <c r="D184" s="23"/>
      <c r="E184" s="23"/>
      <c r="F184" s="23"/>
      <c r="G184" s="23"/>
      <c r="H184" s="23"/>
      <c r="I184" s="23"/>
      <c r="J184" s="23"/>
    </row>
    <row r="185" spans="2:10" ht="12.75">
      <c r="B185" s="23"/>
      <c r="C185" s="23"/>
      <c r="D185" s="23"/>
      <c r="E185" s="23"/>
      <c r="F185" s="23"/>
      <c r="G185" s="23"/>
      <c r="H185" s="23"/>
      <c r="I185" s="23"/>
      <c r="J185" s="23"/>
    </row>
    <row r="186" spans="2:10" ht="12.75">
      <c r="B186" s="23"/>
      <c r="C186" s="23"/>
      <c r="D186" s="23"/>
      <c r="E186" s="23"/>
      <c r="F186" s="23"/>
      <c r="G186" s="23"/>
      <c r="H186" s="23"/>
      <c r="I186" s="23"/>
      <c r="J186" s="23"/>
    </row>
    <row r="187" spans="2:10" ht="12.75">
      <c r="B187" s="23"/>
      <c r="C187" s="23"/>
      <c r="D187" s="23"/>
      <c r="E187" s="23"/>
      <c r="F187" s="23"/>
      <c r="G187" s="23"/>
      <c r="H187" s="23"/>
      <c r="I187" s="23"/>
      <c r="J187" s="23"/>
    </row>
    <row r="188" spans="2:10" ht="12.75">
      <c r="B188" s="23"/>
      <c r="C188" s="23"/>
      <c r="D188" s="23"/>
      <c r="E188" s="23"/>
      <c r="F188" s="23"/>
      <c r="G188" s="23"/>
      <c r="H188" s="23"/>
      <c r="I188" s="23"/>
      <c r="J188" s="23"/>
    </row>
    <row r="189" spans="2:10" ht="12.75">
      <c r="B189" s="23"/>
      <c r="C189" s="23"/>
      <c r="D189" s="23"/>
      <c r="E189" s="23"/>
      <c r="F189" s="23"/>
      <c r="G189" s="23"/>
      <c r="H189" s="23"/>
      <c r="I189" s="23"/>
      <c r="J189" s="23"/>
    </row>
    <row r="190" spans="2:10" ht="12.75">
      <c r="B190" s="23"/>
      <c r="C190" s="23"/>
      <c r="D190" s="23"/>
      <c r="E190" s="23"/>
      <c r="F190" s="23"/>
      <c r="G190" s="23"/>
      <c r="H190" s="23"/>
      <c r="I190" s="23"/>
      <c r="J190" s="23"/>
    </row>
    <row r="191" spans="2:10" ht="12.75">
      <c r="B191" s="23"/>
      <c r="C191" s="23"/>
      <c r="D191" s="23"/>
      <c r="E191" s="23"/>
      <c r="F191" s="23"/>
      <c r="G191" s="23"/>
      <c r="H191" s="23"/>
      <c r="I191" s="23"/>
      <c r="J191" s="23"/>
    </row>
    <row r="192" spans="2:10" ht="12.75">
      <c r="B192" s="23"/>
      <c r="C192" s="23"/>
      <c r="D192" s="23"/>
      <c r="E192" s="23"/>
      <c r="F192" s="23"/>
      <c r="G192" s="23"/>
      <c r="H192" s="23"/>
      <c r="I192" s="23"/>
      <c r="J192" s="23"/>
    </row>
    <row r="193" spans="2:10" ht="12.75">
      <c r="B193" s="23"/>
      <c r="C193" s="23"/>
      <c r="D193" s="23"/>
      <c r="E193" s="23"/>
      <c r="F193" s="23"/>
      <c r="G193" s="23"/>
      <c r="H193" s="23"/>
      <c r="I193" s="23"/>
      <c r="J193" s="23"/>
    </row>
    <row r="194" spans="2:10" ht="12.75">
      <c r="B194" s="24"/>
      <c r="C194" s="24"/>
      <c r="D194" s="24"/>
      <c r="E194" s="24"/>
      <c r="F194" s="24"/>
      <c r="G194" s="24"/>
      <c r="H194" s="24"/>
      <c r="I194" s="24"/>
      <c r="J194" s="24"/>
    </row>
    <row r="195" spans="2:10" ht="12.75">
      <c r="B195" s="24"/>
      <c r="C195" s="24"/>
      <c r="D195" s="24"/>
      <c r="E195" s="24"/>
      <c r="F195" s="24"/>
      <c r="G195" s="24"/>
      <c r="H195" s="24"/>
      <c r="I195" s="24"/>
      <c r="J195" s="24"/>
    </row>
    <row r="196" spans="2:10" ht="12.75">
      <c r="B196" s="24"/>
      <c r="C196" s="24"/>
      <c r="D196" s="24"/>
      <c r="E196" s="24"/>
      <c r="F196" s="24"/>
      <c r="G196" s="24"/>
      <c r="H196" s="24"/>
      <c r="I196" s="24"/>
      <c r="J196" s="24"/>
    </row>
    <row r="197" spans="2:10" ht="12.75">
      <c r="B197" s="24"/>
      <c r="C197" s="24"/>
      <c r="D197" s="24"/>
      <c r="E197" s="24"/>
      <c r="F197" s="24"/>
      <c r="G197" s="24"/>
      <c r="H197" s="24"/>
      <c r="I197" s="24"/>
      <c r="J197" s="24"/>
    </row>
    <row r="198" spans="2:10" ht="12.75">
      <c r="B198" s="24"/>
      <c r="C198" s="24"/>
      <c r="D198" s="24"/>
      <c r="E198" s="24"/>
      <c r="F198" s="24"/>
      <c r="G198" s="24"/>
      <c r="H198" s="24"/>
      <c r="I198" s="24"/>
      <c r="J198" s="24"/>
    </row>
    <row r="199" spans="2:10" ht="12.75">
      <c r="B199" s="24"/>
      <c r="C199" s="24"/>
      <c r="D199" s="24"/>
      <c r="E199" s="24"/>
      <c r="F199" s="24"/>
      <c r="G199" s="24"/>
      <c r="H199" s="24"/>
      <c r="I199" s="24"/>
      <c r="J199" s="24"/>
    </row>
    <row r="200" spans="2:10" ht="12.75">
      <c r="B200" s="24"/>
      <c r="C200" s="24"/>
      <c r="D200" s="24"/>
      <c r="E200" s="24"/>
      <c r="F200" s="24"/>
      <c r="G200" s="24"/>
      <c r="H200" s="24"/>
      <c r="I200" s="24"/>
      <c r="J200" s="24"/>
    </row>
    <row r="201" spans="2:10" ht="12.75">
      <c r="B201" s="24"/>
      <c r="C201" s="24"/>
      <c r="D201" s="24"/>
      <c r="E201" s="24"/>
      <c r="F201" s="24"/>
      <c r="G201" s="24"/>
      <c r="H201" s="24"/>
      <c r="I201" s="24"/>
      <c r="J201" s="24"/>
    </row>
    <row r="202" spans="2:10" ht="12.75">
      <c r="B202" s="24"/>
      <c r="C202" s="24"/>
      <c r="D202" s="24"/>
      <c r="E202" s="24"/>
      <c r="F202" s="24"/>
      <c r="G202" s="24"/>
      <c r="H202" s="24"/>
      <c r="I202" s="24"/>
      <c r="J202" s="24"/>
    </row>
    <row r="203" spans="2:10" ht="12.75">
      <c r="B203" s="24"/>
      <c r="C203" s="24"/>
      <c r="D203" s="24"/>
      <c r="E203" s="24"/>
      <c r="F203" s="24"/>
      <c r="G203" s="24"/>
      <c r="H203" s="24"/>
      <c r="I203" s="24"/>
      <c r="J203" s="24"/>
    </row>
    <row r="204" spans="2:10" ht="12.75">
      <c r="B204" s="24"/>
      <c r="C204" s="24"/>
      <c r="D204" s="24"/>
      <c r="E204" s="24"/>
      <c r="F204" s="24"/>
      <c r="G204" s="24"/>
      <c r="H204" s="24"/>
      <c r="I204" s="24"/>
      <c r="J204" s="24"/>
    </row>
    <row r="205" spans="2:10" ht="12.75">
      <c r="B205" s="24"/>
      <c r="C205" s="24"/>
      <c r="D205" s="24"/>
      <c r="E205" s="24"/>
      <c r="F205" s="24"/>
      <c r="G205" s="24"/>
      <c r="H205" s="24"/>
      <c r="I205" s="24"/>
      <c r="J205" s="24"/>
    </row>
    <row r="206" spans="2:10" ht="12.75">
      <c r="B206" s="24"/>
      <c r="C206" s="24"/>
      <c r="D206" s="24"/>
      <c r="E206" s="24"/>
      <c r="F206" s="24"/>
      <c r="G206" s="24"/>
      <c r="H206" s="24"/>
      <c r="I206" s="24"/>
      <c r="J206" s="24"/>
    </row>
    <row r="207" spans="2:10" ht="12.75">
      <c r="B207" s="24"/>
      <c r="C207" s="24"/>
      <c r="D207" s="24"/>
      <c r="E207" s="24"/>
      <c r="F207" s="24"/>
      <c r="G207" s="24"/>
      <c r="H207" s="24"/>
      <c r="I207" s="24"/>
      <c r="J207" s="24"/>
    </row>
    <row r="208" spans="2:10" ht="12.75">
      <c r="B208" s="24"/>
      <c r="C208" s="24"/>
      <c r="D208" s="24"/>
      <c r="E208" s="24"/>
      <c r="F208" s="24"/>
      <c r="G208" s="24"/>
      <c r="H208" s="24"/>
      <c r="I208" s="24"/>
      <c r="J208" s="24"/>
    </row>
    <row r="209" spans="2:10" ht="12.75">
      <c r="B209" s="24"/>
      <c r="C209" s="24"/>
      <c r="D209" s="24"/>
      <c r="E209" s="24"/>
      <c r="F209" s="24"/>
      <c r="G209" s="24"/>
      <c r="H209" s="24"/>
      <c r="I209" s="24"/>
      <c r="J209" s="24"/>
    </row>
    <row r="210" spans="2:10" ht="12.75">
      <c r="B210" s="24"/>
      <c r="C210" s="24"/>
      <c r="D210" s="24"/>
      <c r="E210" s="24"/>
      <c r="F210" s="24"/>
      <c r="G210" s="24"/>
      <c r="H210" s="24"/>
      <c r="I210" s="24"/>
      <c r="J210" s="24"/>
    </row>
    <row r="211" spans="2:10" ht="12.75">
      <c r="B211" s="24"/>
      <c r="C211" s="24"/>
      <c r="D211" s="24"/>
      <c r="E211" s="24"/>
      <c r="F211" s="24"/>
      <c r="G211" s="24"/>
      <c r="H211" s="24"/>
      <c r="I211" s="24"/>
      <c r="J211" s="24"/>
    </row>
    <row r="212" spans="2:10" ht="12.75">
      <c r="B212" s="24"/>
      <c r="C212" s="24"/>
      <c r="D212" s="24"/>
      <c r="E212" s="24"/>
      <c r="F212" s="24"/>
      <c r="G212" s="24"/>
      <c r="H212" s="24"/>
      <c r="I212" s="24"/>
      <c r="J212" s="24"/>
    </row>
    <row r="213" spans="2:10" ht="12.75">
      <c r="B213" s="24"/>
      <c r="C213" s="24"/>
      <c r="D213" s="24"/>
      <c r="E213" s="24"/>
      <c r="F213" s="24"/>
      <c r="G213" s="24"/>
      <c r="H213" s="24"/>
      <c r="I213" s="24"/>
      <c r="J213" s="24"/>
    </row>
    <row r="214" spans="2:10" ht="12.75">
      <c r="B214" s="24"/>
      <c r="C214" s="24"/>
      <c r="D214" s="24"/>
      <c r="E214" s="24"/>
      <c r="F214" s="24"/>
      <c r="G214" s="24"/>
      <c r="H214" s="24"/>
      <c r="I214" s="24"/>
      <c r="J214" s="24"/>
    </row>
    <row r="215" spans="2:10" ht="12.75">
      <c r="B215" s="24"/>
      <c r="C215" s="24"/>
      <c r="D215" s="24"/>
      <c r="E215" s="24"/>
      <c r="F215" s="24"/>
      <c r="G215" s="24"/>
      <c r="H215" s="24"/>
      <c r="I215" s="24"/>
      <c r="J215" s="24"/>
    </row>
    <row r="216" spans="2:10" ht="12.75">
      <c r="B216" s="24"/>
      <c r="C216" s="24"/>
      <c r="D216" s="24"/>
      <c r="E216" s="24"/>
      <c r="F216" s="24"/>
      <c r="G216" s="24"/>
      <c r="H216" s="24"/>
      <c r="I216" s="24"/>
      <c r="J216" s="24"/>
    </row>
    <row r="217" spans="2:10" ht="12.75">
      <c r="B217" s="24"/>
      <c r="C217" s="24"/>
      <c r="D217" s="24"/>
      <c r="E217" s="24"/>
      <c r="F217" s="24"/>
      <c r="G217" s="24"/>
      <c r="H217" s="24"/>
      <c r="I217" s="24"/>
      <c r="J217" s="24"/>
    </row>
    <row r="218" spans="2:10" ht="12.75">
      <c r="B218" s="24"/>
      <c r="C218" s="24"/>
      <c r="D218" s="24"/>
      <c r="E218" s="24"/>
      <c r="F218" s="24"/>
      <c r="G218" s="24"/>
      <c r="H218" s="24"/>
      <c r="I218" s="24"/>
      <c r="J218" s="24"/>
    </row>
    <row r="219" spans="2:10" ht="12.75">
      <c r="B219" s="24"/>
      <c r="C219" s="24"/>
      <c r="D219" s="24"/>
      <c r="E219" s="24"/>
      <c r="F219" s="24"/>
      <c r="G219" s="24"/>
      <c r="H219" s="24"/>
      <c r="I219" s="24"/>
      <c r="J219" s="24"/>
    </row>
    <row r="220" spans="2:10" ht="12.75">
      <c r="B220" s="24"/>
      <c r="C220" s="24"/>
      <c r="D220" s="24"/>
      <c r="E220" s="24"/>
      <c r="F220" s="24"/>
      <c r="G220" s="24"/>
      <c r="H220" s="24"/>
      <c r="I220" s="24"/>
      <c r="J220" s="24"/>
    </row>
    <row r="221" spans="2:10" ht="12.75">
      <c r="B221" s="24"/>
      <c r="C221" s="24"/>
      <c r="D221" s="24"/>
      <c r="E221" s="24"/>
      <c r="F221" s="24"/>
      <c r="G221" s="24"/>
      <c r="H221" s="24"/>
      <c r="I221" s="24"/>
      <c r="J221" s="24"/>
    </row>
    <row r="222" spans="2:10" ht="12.75">
      <c r="B222" s="24"/>
      <c r="C222" s="24"/>
      <c r="D222" s="24"/>
      <c r="E222" s="24"/>
      <c r="F222" s="24"/>
      <c r="G222" s="24"/>
      <c r="H222" s="24"/>
      <c r="I222" s="24"/>
      <c r="J222" s="24"/>
    </row>
    <row r="223" spans="2:10" ht="12.75">
      <c r="B223" s="24"/>
      <c r="C223" s="24"/>
      <c r="D223" s="24"/>
      <c r="E223" s="24"/>
      <c r="F223" s="24"/>
      <c r="G223" s="24"/>
      <c r="H223" s="24"/>
      <c r="I223" s="24"/>
      <c r="J223" s="24"/>
    </row>
    <row r="224" spans="2:10" ht="12.75">
      <c r="B224" s="24"/>
      <c r="C224" s="24"/>
      <c r="D224" s="24"/>
      <c r="E224" s="24"/>
      <c r="F224" s="24"/>
      <c r="G224" s="24"/>
      <c r="H224" s="24"/>
      <c r="I224" s="24"/>
      <c r="J224" s="24"/>
    </row>
    <row r="225" spans="2:10" ht="12.75">
      <c r="B225" s="24"/>
      <c r="C225" s="24"/>
      <c r="D225" s="24"/>
      <c r="E225" s="24"/>
      <c r="F225" s="24"/>
      <c r="G225" s="24"/>
      <c r="H225" s="24"/>
      <c r="I225" s="24"/>
      <c r="J225" s="24"/>
    </row>
    <row r="226" spans="2:10" ht="12.75">
      <c r="B226" s="24"/>
      <c r="C226" s="24"/>
      <c r="D226" s="24"/>
      <c r="E226" s="24"/>
      <c r="F226" s="24"/>
      <c r="G226" s="24"/>
      <c r="H226" s="24"/>
      <c r="I226" s="24"/>
      <c r="J226" s="24"/>
    </row>
    <row r="227" spans="2:10" ht="12.75">
      <c r="B227" s="24"/>
      <c r="C227" s="24"/>
      <c r="D227" s="24"/>
      <c r="E227" s="24"/>
      <c r="F227" s="24"/>
      <c r="G227" s="24"/>
      <c r="H227" s="24"/>
      <c r="I227" s="24"/>
      <c r="J227" s="24"/>
    </row>
    <row r="228" spans="2:10" ht="12.75">
      <c r="B228" s="24"/>
      <c r="C228" s="24"/>
      <c r="D228" s="24"/>
      <c r="E228" s="24"/>
      <c r="F228" s="24"/>
      <c r="G228" s="24"/>
      <c r="H228" s="24"/>
      <c r="I228" s="24"/>
      <c r="J228" s="24"/>
    </row>
    <row r="229" spans="2:10" ht="12.75">
      <c r="B229" s="24"/>
      <c r="C229" s="24"/>
      <c r="D229" s="24"/>
      <c r="E229" s="24"/>
      <c r="F229" s="24"/>
      <c r="G229" s="24"/>
      <c r="H229" s="24"/>
      <c r="I229" s="24"/>
      <c r="J229" s="24"/>
    </row>
    <row r="230" spans="2:10" ht="12.75">
      <c r="B230" s="24"/>
      <c r="C230" s="24"/>
      <c r="D230" s="24"/>
      <c r="E230" s="24"/>
      <c r="F230" s="24"/>
      <c r="G230" s="24"/>
      <c r="H230" s="24"/>
      <c r="I230" s="24"/>
      <c r="J230" s="24"/>
    </row>
    <row r="231" spans="2:10" ht="12.75">
      <c r="B231" s="24"/>
      <c r="C231" s="24"/>
      <c r="D231" s="24"/>
      <c r="E231" s="24"/>
      <c r="F231" s="24"/>
      <c r="G231" s="24"/>
      <c r="H231" s="24"/>
      <c r="I231" s="24"/>
      <c r="J231" s="24"/>
    </row>
    <row r="232" spans="2:10" ht="12.75">
      <c r="B232" s="24"/>
      <c r="C232" s="24"/>
      <c r="D232" s="24"/>
      <c r="E232" s="24"/>
      <c r="F232" s="24"/>
      <c r="G232" s="24"/>
      <c r="H232" s="24"/>
      <c r="I232" s="24"/>
      <c r="J232" s="24"/>
    </row>
    <row r="233" spans="2:10" ht="12.75">
      <c r="B233" s="24"/>
      <c r="C233" s="24"/>
      <c r="D233" s="24"/>
      <c r="E233" s="24"/>
      <c r="F233" s="24"/>
      <c r="G233" s="24"/>
      <c r="H233" s="24"/>
      <c r="I233" s="24"/>
      <c r="J233" s="24"/>
    </row>
    <row r="234" spans="2:10" ht="12.75">
      <c r="B234" s="24"/>
      <c r="C234" s="24"/>
      <c r="D234" s="24"/>
      <c r="E234" s="24"/>
      <c r="F234" s="24"/>
      <c r="G234" s="24"/>
      <c r="H234" s="24"/>
      <c r="I234" s="24"/>
      <c r="J234" s="24"/>
    </row>
    <row r="235" spans="2:10" ht="12.75">
      <c r="B235" s="24"/>
      <c r="C235" s="24"/>
      <c r="D235" s="24"/>
      <c r="E235" s="24"/>
      <c r="F235" s="24"/>
      <c r="G235" s="24"/>
      <c r="H235" s="24"/>
      <c r="I235" s="24"/>
      <c r="J235" s="24"/>
    </row>
    <row r="236" spans="2:10" ht="12.75">
      <c r="B236" s="24"/>
      <c r="C236" s="24"/>
      <c r="D236" s="24"/>
      <c r="E236" s="24"/>
      <c r="F236" s="24"/>
      <c r="G236" s="24"/>
      <c r="H236" s="24"/>
      <c r="I236" s="24"/>
      <c r="J236" s="24"/>
    </row>
    <row r="237" spans="2:10" ht="12.75">
      <c r="B237" s="24"/>
      <c r="C237" s="24"/>
      <c r="D237" s="24"/>
      <c r="E237" s="24"/>
      <c r="F237" s="24"/>
      <c r="G237" s="24"/>
      <c r="H237" s="24"/>
      <c r="I237" s="24"/>
      <c r="J237" s="24"/>
    </row>
    <row r="238" spans="2:10" ht="12.75">
      <c r="B238" s="24"/>
      <c r="C238" s="24"/>
      <c r="D238" s="24"/>
      <c r="E238" s="24"/>
      <c r="F238" s="24"/>
      <c r="G238" s="24"/>
      <c r="H238" s="24"/>
      <c r="I238" s="24"/>
      <c r="J238" s="24"/>
    </row>
    <row r="239" spans="2:10" ht="12.75">
      <c r="B239" s="24"/>
      <c r="C239" s="24"/>
      <c r="D239" s="24"/>
      <c r="E239" s="24"/>
      <c r="F239" s="24"/>
      <c r="G239" s="24"/>
      <c r="H239" s="24"/>
      <c r="I239" s="24"/>
      <c r="J239" s="24"/>
    </row>
    <row r="240" spans="2:10" ht="12.75">
      <c r="B240" s="24"/>
      <c r="C240" s="24"/>
      <c r="D240" s="24"/>
      <c r="E240" s="24"/>
      <c r="F240" s="24"/>
      <c r="G240" s="24"/>
      <c r="H240" s="24"/>
      <c r="I240" s="24"/>
      <c r="J240" s="24"/>
    </row>
    <row r="241" spans="2:10" ht="12.75">
      <c r="B241" s="24"/>
      <c r="C241" s="24"/>
      <c r="D241" s="24"/>
      <c r="E241" s="24"/>
      <c r="F241" s="24"/>
      <c r="G241" s="24"/>
      <c r="H241" s="24"/>
      <c r="I241" s="24"/>
      <c r="J241" s="24"/>
    </row>
    <row r="242" spans="2:10" ht="12.75">
      <c r="B242" s="24"/>
      <c r="C242" s="24"/>
      <c r="D242" s="24"/>
      <c r="E242" s="24"/>
      <c r="F242" s="24"/>
      <c r="G242" s="24"/>
      <c r="H242" s="24"/>
      <c r="I242" s="24"/>
      <c r="J242" s="24"/>
    </row>
    <row r="243" spans="2:10" ht="12.75">
      <c r="B243" s="24"/>
      <c r="C243" s="24"/>
      <c r="D243" s="24"/>
      <c r="E243" s="24"/>
      <c r="F243" s="24"/>
      <c r="G243" s="24"/>
      <c r="H243" s="24"/>
      <c r="I243" s="24"/>
      <c r="J243" s="24"/>
    </row>
    <row r="244" spans="2:10" ht="12.75">
      <c r="B244" s="24"/>
      <c r="C244" s="24"/>
      <c r="D244" s="24"/>
      <c r="E244" s="24"/>
      <c r="F244" s="24"/>
      <c r="G244" s="24"/>
      <c r="H244" s="24"/>
      <c r="I244" s="24"/>
      <c r="J244" s="24"/>
    </row>
    <row r="245" spans="2:10" ht="12.75">
      <c r="B245" s="24"/>
      <c r="C245" s="24"/>
      <c r="D245" s="24"/>
      <c r="E245" s="24"/>
      <c r="F245" s="24"/>
      <c r="G245" s="24"/>
      <c r="H245" s="24"/>
      <c r="I245" s="24"/>
      <c r="J245" s="24"/>
    </row>
    <row r="246" spans="2:10" ht="12.75">
      <c r="B246" s="24"/>
      <c r="C246" s="24"/>
      <c r="D246" s="24"/>
      <c r="E246" s="24"/>
      <c r="F246" s="24"/>
      <c r="G246" s="24"/>
      <c r="H246" s="24"/>
      <c r="I246" s="24"/>
      <c r="J246" s="24"/>
    </row>
    <row r="247" spans="2:10" ht="12.75">
      <c r="B247" s="24"/>
      <c r="C247" s="24"/>
      <c r="D247" s="24"/>
      <c r="E247" s="24"/>
      <c r="F247" s="24"/>
      <c r="G247" s="24"/>
      <c r="H247" s="24"/>
      <c r="I247" s="24"/>
      <c r="J247" s="24"/>
    </row>
    <row r="248" spans="2:10" ht="12.75">
      <c r="B248" s="24"/>
      <c r="C248" s="24"/>
      <c r="D248" s="24"/>
      <c r="E248" s="24"/>
      <c r="F248" s="24"/>
      <c r="G248" s="24"/>
      <c r="H248" s="24"/>
      <c r="I248" s="24"/>
      <c r="J248" s="24"/>
    </row>
    <row r="249" spans="2:10" ht="12.75">
      <c r="B249" s="24"/>
      <c r="C249" s="24"/>
      <c r="D249" s="24"/>
      <c r="E249" s="24"/>
      <c r="F249" s="24"/>
      <c r="G249" s="24"/>
      <c r="H249" s="24"/>
      <c r="I249" s="24"/>
      <c r="J249" s="24"/>
    </row>
    <row r="250" spans="2:10" ht="12.75">
      <c r="B250" s="24"/>
      <c r="C250" s="24"/>
      <c r="D250" s="24"/>
      <c r="E250" s="24"/>
      <c r="F250" s="24"/>
      <c r="G250" s="24"/>
      <c r="H250" s="24"/>
      <c r="I250" s="24"/>
      <c r="J250" s="24"/>
    </row>
    <row r="251" spans="2:10" ht="12.75">
      <c r="B251" s="24"/>
      <c r="C251" s="24"/>
      <c r="D251" s="24"/>
      <c r="E251" s="24"/>
      <c r="F251" s="24"/>
      <c r="G251" s="24"/>
      <c r="H251" s="24"/>
      <c r="I251" s="24"/>
      <c r="J251" s="24"/>
    </row>
    <row r="252" spans="2:10" ht="12.75">
      <c r="B252" s="24"/>
      <c r="C252" s="24"/>
      <c r="D252" s="24"/>
      <c r="E252" s="24"/>
      <c r="F252" s="24"/>
      <c r="G252" s="24"/>
      <c r="H252" s="24"/>
      <c r="I252" s="24"/>
      <c r="J252" s="24"/>
    </row>
    <row r="253" spans="2:10" ht="12.75">
      <c r="B253" s="24"/>
      <c r="C253" s="24"/>
      <c r="D253" s="24"/>
      <c r="E253" s="24"/>
      <c r="F253" s="24"/>
      <c r="G253" s="24"/>
      <c r="H253" s="24"/>
      <c r="I253" s="24"/>
      <c r="J253" s="24"/>
    </row>
    <row r="254" spans="2:10" ht="12.75">
      <c r="B254" s="24"/>
      <c r="C254" s="24"/>
      <c r="D254" s="24"/>
      <c r="E254" s="24"/>
      <c r="F254" s="24"/>
      <c r="G254" s="24"/>
      <c r="H254" s="24"/>
      <c r="I254" s="24"/>
      <c r="J254" s="24"/>
    </row>
    <row r="255" spans="2:10" ht="12.75">
      <c r="B255" s="24"/>
      <c r="C255" s="24"/>
      <c r="D255" s="24"/>
      <c r="E255" s="24"/>
      <c r="F255" s="24"/>
      <c r="G255" s="24"/>
      <c r="H255" s="24"/>
      <c r="I255" s="24"/>
      <c r="J255" s="24"/>
    </row>
    <row r="256" spans="2:10" ht="12.75">
      <c r="B256" s="24"/>
      <c r="C256" s="24"/>
      <c r="D256" s="24"/>
      <c r="E256" s="24"/>
      <c r="F256" s="24"/>
      <c r="G256" s="24"/>
      <c r="H256" s="24"/>
      <c r="I256" s="24"/>
      <c r="J256" s="24"/>
    </row>
    <row r="257" spans="2:10" ht="12.75">
      <c r="B257" s="24"/>
      <c r="C257" s="24"/>
      <c r="D257" s="24"/>
      <c r="E257" s="24"/>
      <c r="F257" s="24"/>
      <c r="G257" s="24"/>
      <c r="H257" s="24"/>
      <c r="I257" s="24"/>
      <c r="J257" s="24"/>
    </row>
    <row r="258" spans="2:10" ht="12.75">
      <c r="B258" s="24"/>
      <c r="C258" s="24"/>
      <c r="D258" s="24"/>
      <c r="E258" s="24"/>
      <c r="F258" s="24"/>
      <c r="G258" s="24"/>
      <c r="H258" s="24"/>
      <c r="I258" s="24"/>
      <c r="J258" s="24"/>
    </row>
    <row r="259" spans="2:10" ht="12.75">
      <c r="B259" s="24"/>
      <c r="C259" s="24"/>
      <c r="D259" s="24"/>
      <c r="E259" s="24"/>
      <c r="F259" s="24"/>
      <c r="G259" s="24"/>
      <c r="H259" s="24"/>
      <c r="I259" s="24"/>
      <c r="J259" s="24"/>
    </row>
    <row r="260" spans="2:10" ht="12.75">
      <c r="B260" s="24"/>
      <c r="C260" s="24"/>
      <c r="D260" s="24"/>
      <c r="E260" s="24"/>
      <c r="F260" s="24"/>
      <c r="G260" s="24"/>
      <c r="H260" s="24"/>
      <c r="I260" s="24"/>
      <c r="J260" s="24"/>
    </row>
    <row r="261" spans="2:10" ht="12.75">
      <c r="B261" s="24"/>
      <c r="C261" s="24"/>
      <c r="D261" s="24"/>
      <c r="E261" s="24"/>
      <c r="F261" s="24"/>
      <c r="G261" s="24"/>
      <c r="H261" s="24"/>
      <c r="I261" s="24"/>
      <c r="J261" s="24"/>
    </row>
    <row r="262" spans="2:10" ht="12.75">
      <c r="B262" s="24"/>
      <c r="C262" s="24"/>
      <c r="D262" s="24"/>
      <c r="E262" s="24"/>
      <c r="F262" s="24"/>
      <c r="G262" s="24"/>
      <c r="H262" s="24"/>
      <c r="I262" s="24"/>
      <c r="J262" s="24"/>
    </row>
    <row r="263" spans="2:10" ht="12.75">
      <c r="B263" s="24"/>
      <c r="C263" s="24"/>
      <c r="D263" s="24"/>
      <c r="E263" s="24"/>
      <c r="F263" s="24"/>
      <c r="G263" s="24"/>
      <c r="H263" s="24"/>
      <c r="I263" s="24"/>
      <c r="J263" s="24"/>
    </row>
    <row r="264" spans="2:10" ht="12.75">
      <c r="B264" s="24"/>
      <c r="C264" s="24"/>
      <c r="D264" s="24"/>
      <c r="E264" s="24"/>
      <c r="F264" s="24"/>
      <c r="G264" s="24"/>
      <c r="H264" s="24"/>
      <c r="I264" s="24"/>
      <c r="J264" s="24"/>
    </row>
    <row r="265" spans="2:10" ht="12.75">
      <c r="B265" s="24"/>
      <c r="C265" s="24"/>
      <c r="D265" s="24"/>
      <c r="E265" s="24"/>
      <c r="F265" s="24"/>
      <c r="G265" s="24"/>
      <c r="H265" s="24"/>
      <c r="I265" s="24"/>
      <c r="J265" s="24"/>
    </row>
    <row r="266" spans="2:10" ht="12.75">
      <c r="B266" s="24"/>
      <c r="C266" s="24"/>
      <c r="D266" s="24"/>
      <c r="E266" s="24"/>
      <c r="F266" s="24"/>
      <c r="G266" s="24"/>
      <c r="H266" s="24"/>
      <c r="I266" s="24"/>
      <c r="J266" s="24"/>
    </row>
    <row r="267" spans="2:10" ht="12.75">
      <c r="B267" s="24"/>
      <c r="C267" s="24"/>
      <c r="D267" s="24"/>
      <c r="E267" s="24"/>
      <c r="F267" s="24"/>
      <c r="G267" s="24"/>
      <c r="H267" s="24"/>
      <c r="I267" s="24"/>
      <c r="J267" s="24"/>
    </row>
    <row r="268" spans="2:10" ht="12.75">
      <c r="B268" s="24"/>
      <c r="C268" s="24"/>
      <c r="D268" s="24"/>
      <c r="E268" s="24"/>
      <c r="F268" s="24"/>
      <c r="G268" s="24"/>
      <c r="H268" s="24"/>
      <c r="I268" s="24"/>
      <c r="J268" s="24"/>
    </row>
    <row r="269" spans="2:10" ht="12.75">
      <c r="B269" s="24"/>
      <c r="C269" s="24"/>
      <c r="D269" s="24"/>
      <c r="E269" s="24"/>
      <c r="F269" s="24"/>
      <c r="G269" s="24"/>
      <c r="H269" s="24"/>
      <c r="I269" s="24"/>
      <c r="J269" s="24"/>
    </row>
    <row r="270" spans="2:10" ht="12.75">
      <c r="B270" s="24"/>
      <c r="C270" s="24"/>
      <c r="D270" s="24"/>
      <c r="E270" s="24"/>
      <c r="F270" s="24"/>
      <c r="G270" s="24"/>
      <c r="H270" s="24"/>
      <c r="I270" s="24"/>
      <c r="J270" s="24"/>
    </row>
    <row r="271" spans="2:10" ht="12.75">
      <c r="B271" s="24"/>
      <c r="C271" s="24"/>
      <c r="D271" s="24"/>
      <c r="E271" s="24"/>
      <c r="F271" s="24"/>
      <c r="G271" s="24"/>
      <c r="H271" s="24"/>
      <c r="I271" s="24"/>
      <c r="J271" s="24"/>
    </row>
    <row r="272" spans="2:10" ht="12.75">
      <c r="B272" s="24"/>
      <c r="C272" s="24"/>
      <c r="D272" s="24"/>
      <c r="E272" s="24"/>
      <c r="F272" s="24"/>
      <c r="G272" s="24"/>
      <c r="H272" s="24"/>
      <c r="I272" s="24"/>
      <c r="J272" s="24"/>
    </row>
    <row r="273" spans="2:10" ht="12.75">
      <c r="B273" s="24"/>
      <c r="C273" s="24"/>
      <c r="D273" s="24"/>
      <c r="E273" s="24"/>
      <c r="F273" s="24"/>
      <c r="G273" s="24"/>
      <c r="H273" s="24"/>
      <c r="I273" s="24"/>
      <c r="J273" s="24"/>
    </row>
    <row r="274" spans="2:10" ht="12.75">
      <c r="B274" s="24"/>
      <c r="C274" s="24"/>
      <c r="D274" s="24"/>
      <c r="E274" s="24"/>
      <c r="F274" s="24"/>
      <c r="G274" s="24"/>
      <c r="H274" s="24"/>
      <c r="I274" s="24"/>
      <c r="J274" s="24"/>
    </row>
    <row r="275" spans="2:10" ht="12.75">
      <c r="B275" s="24"/>
      <c r="C275" s="24"/>
      <c r="D275" s="24"/>
      <c r="E275" s="24"/>
      <c r="F275" s="24"/>
      <c r="G275" s="24"/>
      <c r="H275" s="24"/>
      <c r="I275" s="24"/>
      <c r="J275" s="24"/>
    </row>
    <row r="276" spans="2:10" ht="12.75">
      <c r="B276" s="24"/>
      <c r="C276" s="24"/>
      <c r="D276" s="24"/>
      <c r="E276" s="24"/>
      <c r="F276" s="24"/>
      <c r="G276" s="24"/>
      <c r="H276" s="24"/>
      <c r="I276" s="24"/>
      <c r="J276" s="24"/>
    </row>
    <row r="277" spans="2:10" ht="12.75">
      <c r="B277" s="24"/>
      <c r="C277" s="24"/>
      <c r="D277" s="24"/>
      <c r="E277" s="24"/>
      <c r="F277" s="24"/>
      <c r="G277" s="24"/>
      <c r="H277" s="24"/>
      <c r="I277" s="24"/>
      <c r="J277" s="24"/>
    </row>
    <row r="278" spans="2:10" ht="12.75">
      <c r="B278" s="24"/>
      <c r="C278" s="24"/>
      <c r="D278" s="24"/>
      <c r="E278" s="24"/>
      <c r="F278" s="24"/>
      <c r="G278" s="24"/>
      <c r="H278" s="24"/>
      <c r="I278" s="24"/>
      <c r="J278" s="24"/>
    </row>
    <row r="279" spans="2:10" ht="12.75">
      <c r="B279" s="24"/>
      <c r="C279" s="24"/>
      <c r="D279" s="24"/>
      <c r="E279" s="24"/>
      <c r="F279" s="24"/>
      <c r="G279" s="24"/>
      <c r="H279" s="24"/>
      <c r="I279" s="24"/>
      <c r="J279" s="24"/>
    </row>
    <row r="280" spans="2:10" ht="12.75">
      <c r="B280" s="24"/>
      <c r="C280" s="24"/>
      <c r="D280" s="24"/>
      <c r="E280" s="24"/>
      <c r="F280" s="24"/>
      <c r="G280" s="24"/>
      <c r="H280" s="24"/>
      <c r="I280" s="24"/>
      <c r="J280" s="24"/>
    </row>
    <row r="281" spans="2:10" ht="12.75">
      <c r="B281" s="24"/>
      <c r="C281" s="24"/>
      <c r="D281" s="24"/>
      <c r="E281" s="24"/>
      <c r="F281" s="24"/>
      <c r="G281" s="24"/>
      <c r="H281" s="24"/>
      <c r="I281" s="24"/>
      <c r="J281" s="24"/>
    </row>
    <row r="282" spans="2:10" ht="12.75">
      <c r="B282" s="24"/>
      <c r="C282" s="24"/>
      <c r="D282" s="24"/>
      <c r="E282" s="24"/>
      <c r="F282" s="24"/>
      <c r="G282" s="24"/>
      <c r="H282" s="24"/>
      <c r="I282" s="24"/>
      <c r="J282" s="24"/>
    </row>
    <row r="283" spans="2:10" ht="12.75">
      <c r="B283" s="24"/>
      <c r="C283" s="24"/>
      <c r="D283" s="24"/>
      <c r="E283" s="24"/>
      <c r="F283" s="24"/>
      <c r="G283" s="24"/>
      <c r="H283" s="24"/>
      <c r="I283" s="24"/>
      <c r="J283" s="24"/>
    </row>
    <row r="284" spans="2:10" ht="12.75">
      <c r="B284" s="24"/>
      <c r="C284" s="24"/>
      <c r="D284" s="24"/>
      <c r="E284" s="24"/>
      <c r="F284" s="24"/>
      <c r="G284" s="24"/>
      <c r="H284" s="24"/>
      <c r="I284" s="24"/>
      <c r="J284" s="24"/>
    </row>
    <row r="285" spans="2:10" ht="12.75">
      <c r="B285" s="24"/>
      <c r="C285" s="24"/>
      <c r="D285" s="24"/>
      <c r="E285" s="24"/>
      <c r="F285" s="24"/>
      <c r="G285" s="24"/>
      <c r="H285" s="24"/>
      <c r="I285" s="24"/>
      <c r="J285" s="24"/>
    </row>
    <row r="286" spans="2:10" ht="12.75">
      <c r="B286" s="24"/>
      <c r="C286" s="24"/>
      <c r="D286" s="24"/>
      <c r="E286" s="24"/>
      <c r="F286" s="24"/>
      <c r="G286" s="24"/>
      <c r="H286" s="24"/>
      <c r="I286" s="24"/>
      <c r="J286" s="24"/>
    </row>
    <row r="287" spans="2:10" ht="12.75">
      <c r="B287" s="24"/>
      <c r="C287" s="24"/>
      <c r="D287" s="24"/>
      <c r="E287" s="24"/>
      <c r="F287" s="24"/>
      <c r="G287" s="24"/>
      <c r="H287" s="24"/>
      <c r="I287" s="24"/>
      <c r="J287" s="24"/>
    </row>
    <row r="288" spans="2:10" ht="12.75">
      <c r="B288" s="24"/>
      <c r="C288" s="24"/>
      <c r="D288" s="24"/>
      <c r="E288" s="24"/>
      <c r="F288" s="24"/>
      <c r="G288" s="24"/>
      <c r="H288" s="24"/>
      <c r="I288" s="24"/>
      <c r="J288" s="24"/>
    </row>
    <row r="289" spans="2:10" ht="12.75">
      <c r="B289" s="24"/>
      <c r="C289" s="24"/>
      <c r="D289" s="24"/>
      <c r="E289" s="24"/>
      <c r="F289" s="24"/>
      <c r="G289" s="24"/>
      <c r="H289" s="24"/>
      <c r="I289" s="24"/>
      <c r="J289" s="24"/>
    </row>
    <row r="290" spans="2:10" ht="12.75">
      <c r="B290" s="24"/>
      <c r="C290" s="24"/>
      <c r="D290" s="24"/>
      <c r="E290" s="24"/>
      <c r="F290" s="24"/>
      <c r="G290" s="24"/>
      <c r="H290" s="24"/>
      <c r="I290" s="24"/>
      <c r="J290" s="24"/>
    </row>
    <row r="291" spans="2:10" ht="12.75">
      <c r="B291" s="24"/>
      <c r="C291" s="24"/>
      <c r="D291" s="24"/>
      <c r="E291" s="24"/>
      <c r="F291" s="24"/>
      <c r="G291" s="24"/>
      <c r="H291" s="24"/>
      <c r="I291" s="24"/>
      <c r="J291" s="24"/>
    </row>
    <row r="292" spans="2:10" ht="12.75">
      <c r="B292" s="24"/>
      <c r="C292" s="24"/>
      <c r="D292" s="24"/>
      <c r="E292" s="24"/>
      <c r="F292" s="24"/>
      <c r="G292" s="24"/>
      <c r="H292" s="24"/>
      <c r="I292" s="24"/>
      <c r="J292" s="24"/>
    </row>
    <row r="293" spans="2:10" ht="12.75">
      <c r="B293" s="24"/>
      <c r="C293" s="24"/>
      <c r="D293" s="24"/>
      <c r="E293" s="24"/>
      <c r="F293" s="24"/>
      <c r="G293" s="24"/>
      <c r="H293" s="24"/>
      <c r="I293" s="24"/>
      <c r="J293" s="24"/>
    </row>
    <row r="294" spans="2:10" ht="12.75">
      <c r="B294" s="24"/>
      <c r="C294" s="24"/>
      <c r="D294" s="24"/>
      <c r="E294" s="24"/>
      <c r="F294" s="24"/>
      <c r="G294" s="24"/>
      <c r="H294" s="24"/>
      <c r="I294" s="24"/>
      <c r="J294" s="24"/>
    </row>
    <row r="295" spans="2:10" ht="12.75">
      <c r="B295" s="24"/>
      <c r="C295" s="24"/>
      <c r="D295" s="24"/>
      <c r="E295" s="24"/>
      <c r="F295" s="24"/>
      <c r="G295" s="24"/>
      <c r="H295" s="24"/>
      <c r="I295" s="24"/>
      <c r="J295" s="24"/>
    </row>
    <row r="296" spans="2:10" ht="12.75">
      <c r="B296" s="24"/>
      <c r="C296" s="24"/>
      <c r="D296" s="24"/>
      <c r="E296" s="24"/>
      <c r="F296" s="24"/>
      <c r="G296" s="24"/>
      <c r="H296" s="24"/>
      <c r="I296" s="24"/>
      <c r="J296" s="24"/>
    </row>
    <row r="297" spans="2:10" ht="12.75">
      <c r="B297" s="24"/>
      <c r="C297" s="24"/>
      <c r="D297" s="24"/>
      <c r="E297" s="24"/>
      <c r="F297" s="24"/>
      <c r="G297" s="24"/>
      <c r="H297" s="24"/>
      <c r="I297" s="24"/>
      <c r="J297" s="24"/>
    </row>
    <row r="298" spans="2:10" ht="12.75">
      <c r="B298" s="24"/>
      <c r="C298" s="24"/>
      <c r="D298" s="24"/>
      <c r="E298" s="24"/>
      <c r="F298" s="24"/>
      <c r="G298" s="24"/>
      <c r="H298" s="24"/>
      <c r="I298" s="24"/>
      <c r="J298" s="24"/>
    </row>
    <row r="299" spans="2:10" ht="12.75">
      <c r="B299" s="24"/>
      <c r="C299" s="24"/>
      <c r="D299" s="24"/>
      <c r="E299" s="24"/>
      <c r="F299" s="24"/>
      <c r="G299" s="24"/>
      <c r="H299" s="24"/>
      <c r="I299" s="24"/>
      <c r="J299" s="24"/>
    </row>
    <row r="300" spans="2:10" ht="12.75">
      <c r="B300" s="24"/>
      <c r="C300" s="24"/>
      <c r="D300" s="24"/>
      <c r="E300" s="24"/>
      <c r="F300" s="24"/>
      <c r="G300" s="24"/>
      <c r="H300" s="24"/>
      <c r="I300" s="24"/>
      <c r="J300" s="24"/>
    </row>
    <row r="301" spans="2:10" ht="12.75">
      <c r="B301" s="24"/>
      <c r="C301" s="24"/>
      <c r="D301" s="24"/>
      <c r="E301" s="24"/>
      <c r="F301" s="24"/>
      <c r="G301" s="24"/>
      <c r="H301" s="24"/>
      <c r="I301" s="24"/>
      <c r="J301" s="24"/>
    </row>
    <row r="302" spans="2:10" ht="12.75">
      <c r="B302" s="24"/>
      <c r="C302" s="24"/>
      <c r="D302" s="24"/>
      <c r="E302" s="24"/>
      <c r="F302" s="24"/>
      <c r="G302" s="24"/>
      <c r="H302" s="24"/>
      <c r="I302" s="24"/>
      <c r="J302" s="24"/>
    </row>
    <row r="303" spans="2:10" ht="12.75">
      <c r="B303" s="24"/>
      <c r="C303" s="24"/>
      <c r="D303" s="24"/>
      <c r="E303" s="24"/>
      <c r="F303" s="24"/>
      <c r="G303" s="24"/>
      <c r="H303" s="24"/>
      <c r="I303" s="24"/>
      <c r="J303" s="24"/>
    </row>
    <row r="304" spans="2:10" ht="12.75">
      <c r="B304" s="24"/>
      <c r="C304" s="24"/>
      <c r="D304" s="24"/>
      <c r="E304" s="24"/>
      <c r="F304" s="24"/>
      <c r="G304" s="24"/>
      <c r="H304" s="24"/>
      <c r="I304" s="24"/>
      <c r="J304" s="24"/>
    </row>
    <row r="305" spans="2:10" ht="12.75">
      <c r="B305" s="24"/>
      <c r="C305" s="24"/>
      <c r="D305" s="24"/>
      <c r="E305" s="24"/>
      <c r="F305" s="24"/>
      <c r="G305" s="24"/>
      <c r="H305" s="24"/>
      <c r="I305" s="24"/>
      <c r="J305" s="24"/>
    </row>
    <row r="306" spans="2:10" ht="12.75">
      <c r="B306" s="24"/>
      <c r="C306" s="24"/>
      <c r="D306" s="24"/>
      <c r="E306" s="24"/>
      <c r="F306" s="24"/>
      <c r="G306" s="24"/>
      <c r="H306" s="24"/>
      <c r="I306" s="24"/>
      <c r="J306" s="24"/>
    </row>
    <row r="307" spans="2:10" ht="12.75">
      <c r="B307" s="24"/>
      <c r="C307" s="24"/>
      <c r="D307" s="24"/>
      <c r="E307" s="24"/>
      <c r="F307" s="24"/>
      <c r="G307" s="24"/>
      <c r="H307" s="24"/>
      <c r="I307" s="24"/>
      <c r="J307" s="24"/>
    </row>
    <row r="308" spans="2:10" ht="12.75">
      <c r="B308" s="24"/>
      <c r="C308" s="24"/>
      <c r="D308" s="24"/>
      <c r="E308" s="24"/>
      <c r="F308" s="24"/>
      <c r="G308" s="24"/>
      <c r="H308" s="24"/>
      <c r="I308" s="24"/>
      <c r="J308" s="24"/>
    </row>
    <row r="309" spans="2:10" ht="12.75">
      <c r="B309" s="24"/>
      <c r="C309" s="24"/>
      <c r="D309" s="24"/>
      <c r="E309" s="24"/>
      <c r="F309" s="24"/>
      <c r="G309" s="24"/>
      <c r="H309" s="24"/>
      <c r="I309" s="24"/>
      <c r="J309" s="24"/>
    </row>
    <row r="310" spans="2:10" ht="12.75">
      <c r="B310" s="24"/>
      <c r="C310" s="24"/>
      <c r="D310" s="24"/>
      <c r="E310" s="24"/>
      <c r="F310" s="24"/>
      <c r="G310" s="24"/>
      <c r="H310" s="24"/>
      <c r="I310" s="24"/>
      <c r="J310" s="24"/>
    </row>
    <row r="311" spans="2:10" ht="12.75">
      <c r="B311" s="24"/>
      <c r="C311" s="24"/>
      <c r="D311" s="24"/>
      <c r="E311" s="24"/>
      <c r="F311" s="24"/>
      <c r="G311" s="24"/>
      <c r="H311" s="24"/>
      <c r="I311" s="24"/>
      <c r="J311" s="24"/>
    </row>
    <row r="312" spans="2:10" ht="12.75">
      <c r="B312" s="24"/>
      <c r="C312" s="24"/>
      <c r="D312" s="24"/>
      <c r="E312" s="24"/>
      <c r="F312" s="24"/>
      <c r="G312" s="24"/>
      <c r="H312" s="24"/>
      <c r="I312" s="24"/>
      <c r="J312" s="24"/>
    </row>
    <row r="313" spans="2:10" ht="12.75">
      <c r="B313" s="24"/>
      <c r="C313" s="24"/>
      <c r="D313" s="24"/>
      <c r="E313" s="24"/>
      <c r="F313" s="24"/>
      <c r="G313" s="24"/>
      <c r="H313" s="24"/>
      <c r="I313" s="24"/>
      <c r="J313" s="24"/>
    </row>
    <row r="314" spans="2:10" ht="12.75">
      <c r="B314" s="24"/>
      <c r="C314" s="24"/>
      <c r="D314" s="24"/>
      <c r="E314" s="24"/>
      <c r="F314" s="24"/>
      <c r="G314" s="24"/>
      <c r="H314" s="24"/>
      <c r="I314" s="24"/>
      <c r="J314" s="24"/>
    </row>
    <row r="315" spans="2:10" ht="12.75">
      <c r="B315" s="24"/>
      <c r="C315" s="24"/>
      <c r="D315" s="24"/>
      <c r="E315" s="24"/>
      <c r="F315" s="24"/>
      <c r="G315" s="24"/>
      <c r="H315" s="24"/>
      <c r="I315" s="24"/>
      <c r="J315" s="24"/>
    </row>
    <row r="316" spans="2:10" ht="12.75">
      <c r="B316" s="24"/>
      <c r="C316" s="24"/>
      <c r="D316" s="24"/>
      <c r="E316" s="24"/>
      <c r="F316" s="24"/>
      <c r="G316" s="24"/>
      <c r="H316" s="24"/>
      <c r="I316" s="24"/>
      <c r="J316" s="24"/>
    </row>
    <row r="317" spans="2:10" ht="12.75">
      <c r="B317" s="24"/>
      <c r="C317" s="24"/>
      <c r="D317" s="24"/>
      <c r="E317" s="24"/>
      <c r="F317" s="24"/>
      <c r="G317" s="24"/>
      <c r="H317" s="24"/>
      <c r="I317" s="24"/>
      <c r="J317" s="24"/>
    </row>
    <row r="318" spans="2:10" ht="12.75">
      <c r="B318" s="24"/>
      <c r="C318" s="24"/>
      <c r="D318" s="24"/>
      <c r="E318" s="24"/>
      <c r="F318" s="24"/>
      <c r="G318" s="24"/>
      <c r="H318" s="24"/>
      <c r="I318" s="24"/>
      <c r="J318" s="24"/>
    </row>
    <row r="319" spans="2:10" ht="12.75">
      <c r="B319" s="24"/>
      <c r="C319" s="24"/>
      <c r="D319" s="24"/>
      <c r="E319" s="24"/>
      <c r="F319" s="24"/>
      <c r="G319" s="24"/>
      <c r="H319" s="24"/>
      <c r="I319" s="24"/>
      <c r="J319" s="24"/>
    </row>
    <row r="320" spans="2:10" ht="12.75">
      <c r="B320" s="24"/>
      <c r="C320" s="24"/>
      <c r="D320" s="24"/>
      <c r="E320" s="24"/>
      <c r="F320" s="24"/>
      <c r="G320" s="24"/>
      <c r="H320" s="24"/>
      <c r="I320" s="24"/>
      <c r="J320" s="24"/>
    </row>
    <row r="321" spans="2:10" ht="12.75">
      <c r="B321" s="24"/>
      <c r="C321" s="24"/>
      <c r="D321" s="24"/>
      <c r="E321" s="24"/>
      <c r="F321" s="24"/>
      <c r="G321" s="24"/>
      <c r="H321" s="24"/>
      <c r="I321" s="24"/>
      <c r="J321" s="24"/>
    </row>
    <row r="322" spans="2:10" ht="12.75">
      <c r="B322" s="24"/>
      <c r="C322" s="24"/>
      <c r="D322" s="24"/>
      <c r="E322" s="24"/>
      <c r="F322" s="24"/>
      <c r="G322" s="24"/>
      <c r="H322" s="24"/>
      <c r="I322" s="24"/>
      <c r="J322" s="24"/>
    </row>
    <row r="323" spans="2:10" ht="12.75">
      <c r="B323" s="24"/>
      <c r="C323" s="24"/>
      <c r="D323" s="24"/>
      <c r="E323" s="24"/>
      <c r="F323" s="24"/>
      <c r="G323" s="24"/>
      <c r="H323" s="24"/>
      <c r="I323" s="24"/>
      <c r="J323" s="24"/>
    </row>
    <row r="324" spans="2:10" ht="12.75">
      <c r="B324" s="24"/>
      <c r="C324" s="24"/>
      <c r="D324" s="24"/>
      <c r="E324" s="24"/>
      <c r="F324" s="24"/>
      <c r="G324" s="24"/>
      <c r="H324" s="24"/>
      <c r="I324" s="24"/>
      <c r="J324" s="24"/>
    </row>
    <row r="325" spans="2:10" ht="12.75">
      <c r="B325" s="24"/>
      <c r="C325" s="24"/>
      <c r="D325" s="24"/>
      <c r="E325" s="24"/>
      <c r="F325" s="24"/>
      <c r="G325" s="24"/>
      <c r="H325" s="24"/>
      <c r="I325" s="24"/>
      <c r="J325" s="24"/>
    </row>
    <row r="326" spans="2:10" ht="12.75">
      <c r="B326" s="24"/>
      <c r="C326" s="24"/>
      <c r="D326" s="24"/>
      <c r="E326" s="24"/>
      <c r="F326" s="24"/>
      <c r="G326" s="24"/>
      <c r="H326" s="24"/>
      <c r="I326" s="24"/>
      <c r="J326" s="24"/>
    </row>
    <row r="327" spans="2:10" ht="12.75">
      <c r="B327" s="24"/>
      <c r="C327" s="24"/>
      <c r="D327" s="24"/>
      <c r="E327" s="24"/>
      <c r="F327" s="24"/>
      <c r="G327" s="24"/>
      <c r="H327" s="24"/>
      <c r="I327" s="24"/>
      <c r="J327" s="24"/>
    </row>
    <row r="328" spans="2:10" ht="12.75">
      <c r="B328" s="24"/>
      <c r="C328" s="24"/>
      <c r="D328" s="24"/>
      <c r="E328" s="24"/>
      <c r="F328" s="24"/>
      <c r="G328" s="24"/>
      <c r="H328" s="24"/>
      <c r="I328" s="24"/>
      <c r="J328" s="24"/>
    </row>
    <row r="329" spans="2:10" ht="12.75">
      <c r="B329" s="24"/>
      <c r="C329" s="24"/>
      <c r="D329" s="24"/>
      <c r="E329" s="24"/>
      <c r="F329" s="24"/>
      <c r="G329" s="24"/>
      <c r="H329" s="24"/>
      <c r="I329" s="24"/>
      <c r="J329" s="24"/>
    </row>
    <row r="330" spans="2:10" ht="12.75">
      <c r="B330" s="24"/>
      <c r="C330" s="24"/>
      <c r="D330" s="24"/>
      <c r="E330" s="24"/>
      <c r="F330" s="24"/>
      <c r="G330" s="24"/>
      <c r="H330" s="24"/>
      <c r="I330" s="24"/>
      <c r="J330" s="24"/>
    </row>
    <row r="331" spans="2:10" ht="12.75">
      <c r="B331" s="24"/>
      <c r="C331" s="24"/>
      <c r="D331" s="24"/>
      <c r="E331" s="24"/>
      <c r="F331" s="24"/>
      <c r="G331" s="24"/>
      <c r="H331" s="24"/>
      <c r="I331" s="24"/>
      <c r="J331" s="24"/>
    </row>
    <row r="332" spans="2:10" ht="12.75">
      <c r="B332" s="24"/>
      <c r="C332" s="24"/>
      <c r="D332" s="24"/>
      <c r="E332" s="24"/>
      <c r="F332" s="24"/>
      <c r="G332" s="24"/>
      <c r="H332" s="24"/>
      <c r="I332" s="24"/>
      <c r="J332" s="24"/>
    </row>
    <row r="333" spans="2:10" ht="12.75">
      <c r="B333" s="24"/>
      <c r="C333" s="24"/>
      <c r="D333" s="24"/>
      <c r="E333" s="24"/>
      <c r="F333" s="24"/>
      <c r="G333" s="24"/>
      <c r="H333" s="24"/>
      <c r="I333" s="24"/>
      <c r="J333" s="24"/>
    </row>
    <row r="334" spans="2:10" ht="12.75">
      <c r="B334" s="24"/>
      <c r="C334" s="24"/>
      <c r="D334" s="24"/>
      <c r="E334" s="24"/>
      <c r="F334" s="24"/>
      <c r="G334" s="24"/>
      <c r="H334" s="24"/>
      <c r="I334" s="24"/>
      <c r="J334" s="24"/>
    </row>
    <row r="335" spans="2:10" ht="12.75">
      <c r="B335" s="24"/>
      <c r="C335" s="24"/>
      <c r="D335" s="24"/>
      <c r="E335" s="24"/>
      <c r="F335" s="24"/>
      <c r="G335" s="24"/>
      <c r="H335" s="24"/>
      <c r="I335" s="24"/>
      <c r="J335" s="24"/>
    </row>
    <row r="336" spans="2:10" ht="12.75">
      <c r="B336" s="24"/>
      <c r="C336" s="24"/>
      <c r="D336" s="24"/>
      <c r="E336" s="24"/>
      <c r="F336" s="24"/>
      <c r="G336" s="24"/>
      <c r="H336" s="24"/>
      <c r="I336" s="24"/>
      <c r="J336" s="24"/>
    </row>
    <row r="337" spans="2:10" ht="12.75">
      <c r="B337" s="24"/>
      <c r="C337" s="24"/>
      <c r="D337" s="24"/>
      <c r="E337" s="24"/>
      <c r="F337" s="24"/>
      <c r="G337" s="24"/>
      <c r="H337" s="24"/>
      <c r="I337" s="24"/>
      <c r="J337" s="24"/>
    </row>
    <row r="338" spans="2:10" ht="12.75">
      <c r="B338" s="24"/>
      <c r="C338" s="24"/>
      <c r="D338" s="24"/>
      <c r="E338" s="24"/>
      <c r="F338" s="24"/>
      <c r="G338" s="24"/>
      <c r="H338" s="24"/>
      <c r="I338" s="24"/>
      <c r="J338" s="24"/>
    </row>
    <row r="339" spans="2:10" ht="12.75">
      <c r="B339" s="24"/>
      <c r="C339" s="24"/>
      <c r="D339" s="24"/>
      <c r="E339" s="24"/>
      <c r="F339" s="24"/>
      <c r="G339" s="24"/>
      <c r="H339" s="24"/>
      <c r="I339" s="24"/>
      <c r="J339" s="24"/>
    </row>
    <row r="340" spans="2:10" ht="12.75">
      <c r="B340" s="24"/>
      <c r="C340" s="24"/>
      <c r="D340" s="24"/>
      <c r="E340" s="24"/>
      <c r="F340" s="24"/>
      <c r="G340" s="24"/>
      <c r="H340" s="24"/>
      <c r="I340" s="24"/>
      <c r="J340" s="24"/>
    </row>
    <row r="341" spans="2:10" ht="12.75">
      <c r="B341" s="24"/>
      <c r="C341" s="24"/>
      <c r="D341" s="24"/>
      <c r="E341" s="24"/>
      <c r="F341" s="24"/>
      <c r="G341" s="24"/>
      <c r="H341" s="24"/>
      <c r="I341" s="24"/>
      <c r="J341" s="24"/>
    </row>
    <row r="342" spans="2:10" ht="12.75">
      <c r="B342" s="24"/>
      <c r="C342" s="24"/>
      <c r="D342" s="24"/>
      <c r="E342" s="24"/>
      <c r="F342" s="24"/>
      <c r="G342" s="24"/>
      <c r="H342" s="24"/>
      <c r="I342" s="24"/>
      <c r="J342" s="24"/>
    </row>
    <row r="343" spans="2:10" ht="12.75">
      <c r="B343" s="24"/>
      <c r="C343" s="24"/>
      <c r="D343" s="24"/>
      <c r="E343" s="24"/>
      <c r="F343" s="24"/>
      <c r="G343" s="24"/>
      <c r="H343" s="24"/>
      <c r="I343" s="24"/>
      <c r="J343" s="24"/>
    </row>
    <row r="344" spans="2:10" ht="12.75">
      <c r="B344" s="24"/>
      <c r="C344" s="24"/>
      <c r="D344" s="24"/>
      <c r="E344" s="24"/>
      <c r="F344" s="24"/>
      <c r="G344" s="24"/>
      <c r="H344" s="24"/>
      <c r="I344" s="24"/>
      <c r="J344" s="24"/>
    </row>
    <row r="345" spans="2:10" ht="12.75">
      <c r="B345" s="24"/>
      <c r="C345" s="24"/>
      <c r="D345" s="24"/>
      <c r="E345" s="24"/>
      <c r="F345" s="24"/>
      <c r="G345" s="24"/>
      <c r="H345" s="24"/>
      <c r="I345" s="24"/>
      <c r="J345" s="24"/>
    </row>
    <row r="346" spans="2:10" ht="12.75">
      <c r="B346" s="24"/>
      <c r="C346" s="24"/>
      <c r="D346" s="24"/>
      <c r="E346" s="24"/>
      <c r="F346" s="24"/>
      <c r="G346" s="24"/>
      <c r="H346" s="24"/>
      <c r="I346" s="24"/>
      <c r="J346" s="24"/>
    </row>
    <row r="347" spans="2:10" ht="12.75">
      <c r="B347" s="24"/>
      <c r="C347" s="24"/>
      <c r="D347" s="24"/>
      <c r="E347" s="24"/>
      <c r="F347" s="24"/>
      <c r="G347" s="24"/>
      <c r="H347" s="24"/>
      <c r="I347" s="24"/>
      <c r="J347" s="24"/>
    </row>
    <row r="348" spans="2:10" ht="12.75">
      <c r="B348" s="24"/>
      <c r="C348" s="24"/>
      <c r="D348" s="24"/>
      <c r="E348" s="24"/>
      <c r="F348" s="24"/>
      <c r="G348" s="24"/>
      <c r="H348" s="24"/>
      <c r="I348" s="24"/>
      <c r="J348" s="24"/>
    </row>
    <row r="349" spans="2:10" ht="12.75">
      <c r="B349" s="24"/>
      <c r="C349" s="24"/>
      <c r="D349" s="24"/>
      <c r="E349" s="24"/>
      <c r="F349" s="24"/>
      <c r="G349" s="24"/>
      <c r="H349" s="24"/>
      <c r="I349" s="24"/>
      <c r="J349" s="24"/>
    </row>
    <row r="350" spans="2:10" ht="12.75">
      <c r="B350" s="24"/>
      <c r="C350" s="24"/>
      <c r="D350" s="24"/>
      <c r="E350" s="24"/>
      <c r="F350" s="24"/>
      <c r="G350" s="24"/>
      <c r="H350" s="24"/>
      <c r="I350" s="24"/>
      <c r="J350" s="24"/>
    </row>
    <row r="351" spans="2:10" ht="12.75">
      <c r="B351" s="24"/>
      <c r="C351" s="24"/>
      <c r="D351" s="24"/>
      <c r="E351" s="24"/>
      <c r="F351" s="24"/>
      <c r="G351" s="24"/>
      <c r="H351" s="24"/>
      <c r="I351" s="24"/>
      <c r="J351" s="24"/>
    </row>
    <row r="352" spans="2:10" ht="12.75">
      <c r="B352" s="24"/>
      <c r="C352" s="24"/>
      <c r="D352" s="24"/>
      <c r="E352" s="24"/>
      <c r="F352" s="24"/>
      <c r="G352" s="24"/>
      <c r="H352" s="24"/>
      <c r="I352" s="24"/>
      <c r="J352" s="24"/>
    </row>
    <row r="353" spans="2:10" ht="12.75">
      <c r="B353" s="24"/>
      <c r="C353" s="24"/>
      <c r="D353" s="24"/>
      <c r="E353" s="24"/>
      <c r="F353" s="24"/>
      <c r="G353" s="24"/>
      <c r="H353" s="24"/>
      <c r="I353" s="24"/>
      <c r="J353" s="24"/>
    </row>
    <row r="354" spans="2:10" ht="12.75">
      <c r="B354" s="24"/>
      <c r="C354" s="24"/>
      <c r="D354" s="24"/>
      <c r="E354" s="24"/>
      <c r="F354" s="24"/>
      <c r="G354" s="24"/>
      <c r="H354" s="24"/>
      <c r="I354" s="24"/>
      <c r="J354" s="24"/>
    </row>
    <row r="355" spans="2:10" ht="12.75">
      <c r="B355" s="24"/>
      <c r="C355" s="24"/>
      <c r="D355" s="24"/>
      <c r="E355" s="24"/>
      <c r="F355" s="24"/>
      <c r="G355" s="24"/>
      <c r="H355" s="24"/>
      <c r="I355" s="24"/>
      <c r="J355" s="24"/>
    </row>
    <row r="356" spans="2:10" ht="12.75">
      <c r="B356" s="24"/>
      <c r="C356" s="24"/>
      <c r="D356" s="24"/>
      <c r="E356" s="24"/>
      <c r="F356" s="24"/>
      <c r="G356" s="24"/>
      <c r="H356" s="24"/>
      <c r="I356" s="24"/>
      <c r="J356" s="24"/>
    </row>
    <row r="357" spans="2:10" ht="12.75">
      <c r="B357" s="24"/>
      <c r="C357" s="24"/>
      <c r="D357" s="24"/>
      <c r="E357" s="24"/>
      <c r="F357" s="24"/>
      <c r="G357" s="24"/>
      <c r="H357" s="24"/>
      <c r="I357" s="24"/>
      <c r="J357" s="24"/>
    </row>
    <row r="358" spans="2:10" ht="12.75">
      <c r="B358" s="24"/>
      <c r="C358" s="24"/>
      <c r="D358" s="24"/>
      <c r="E358" s="24"/>
      <c r="F358" s="24"/>
      <c r="G358" s="24"/>
      <c r="H358" s="24"/>
      <c r="I358" s="24"/>
      <c r="J358" s="24"/>
    </row>
    <row r="359" spans="2:10" ht="12.75">
      <c r="B359" s="24"/>
      <c r="C359" s="24"/>
      <c r="D359" s="24"/>
      <c r="E359" s="24"/>
      <c r="F359" s="24"/>
      <c r="G359" s="24"/>
      <c r="H359" s="24"/>
      <c r="I359" s="24"/>
      <c r="J359" s="24"/>
    </row>
    <row r="360" spans="2:10" ht="12.75">
      <c r="B360" s="24"/>
      <c r="C360" s="24"/>
      <c r="D360" s="24"/>
      <c r="E360" s="24"/>
      <c r="F360" s="24"/>
      <c r="G360" s="24"/>
      <c r="H360" s="24"/>
      <c r="I360" s="24"/>
      <c r="J360" s="24"/>
    </row>
    <row r="361" spans="2:10" ht="12.75">
      <c r="B361" s="24"/>
      <c r="C361" s="24"/>
      <c r="D361" s="24"/>
      <c r="E361" s="24"/>
      <c r="F361" s="24"/>
      <c r="G361" s="24"/>
      <c r="H361" s="24"/>
      <c r="I361" s="24"/>
      <c r="J361" s="24"/>
    </row>
    <row r="362" spans="2:10" ht="12.75">
      <c r="B362" s="24"/>
      <c r="C362" s="24"/>
      <c r="D362" s="24"/>
      <c r="E362" s="24"/>
      <c r="F362" s="24"/>
      <c r="G362" s="24"/>
      <c r="H362" s="24"/>
      <c r="I362" s="24"/>
      <c r="J362" s="24"/>
    </row>
  </sheetData>
  <sheetProtection sheet="1" objects="1" scenarios="1" selectLockedCells="1"/>
  <mergeCells count="39">
    <mergeCell ref="D8:E8"/>
    <mergeCell ref="F11:H11"/>
    <mergeCell ref="G8:H8"/>
    <mergeCell ref="F9:H9"/>
    <mergeCell ref="H19:I19"/>
    <mergeCell ref="D19:F19"/>
    <mergeCell ref="E13:H14"/>
    <mergeCell ref="B17:I17"/>
    <mergeCell ref="H26:I27"/>
    <mergeCell ref="D28:E29"/>
    <mergeCell ref="D24:F25"/>
    <mergeCell ref="D26:F27"/>
    <mergeCell ref="H22:I23"/>
    <mergeCell ref="B21:C21"/>
    <mergeCell ref="N43:U48"/>
    <mergeCell ref="B13:B14"/>
    <mergeCell ref="G15:H15"/>
    <mergeCell ref="G24:G25"/>
    <mergeCell ref="H24:I25"/>
    <mergeCell ref="G28:G29"/>
    <mergeCell ref="H28:I29"/>
    <mergeCell ref="H48:I48"/>
    <mergeCell ref="H20:I21"/>
    <mergeCell ref="G26:G27"/>
    <mergeCell ref="B2:I2"/>
    <mergeCell ref="B3:I3"/>
    <mergeCell ref="D5:E5"/>
    <mergeCell ref="G5:H5"/>
    <mergeCell ref="D6:E6"/>
    <mergeCell ref="G6:H6"/>
    <mergeCell ref="B29:C29"/>
    <mergeCell ref="D20:F21"/>
    <mergeCell ref="D22:F23"/>
    <mergeCell ref="G22:G23"/>
    <mergeCell ref="B22:C22"/>
    <mergeCell ref="B24:C24"/>
    <mergeCell ref="B25:C25"/>
    <mergeCell ref="B26:C26"/>
    <mergeCell ref="B27:C27"/>
  </mergeCells>
  <dataValidations count="4">
    <dataValidation allowBlank="1" showInputMessage="1" showErrorMessage="1" errorTitle="No" sqref="L12 I9 I12"/>
    <dataValidation type="list" allowBlank="1" showInputMessage="1" showErrorMessage="1" sqref="L9">
      <formula1>$P$5:$P$8</formula1>
    </dataValidation>
    <dataValidation type="list" allowBlank="1" showInputMessage="1" showErrorMessage="1" sqref="I5">
      <formula1>$L$5:$L$8</formula1>
    </dataValidation>
    <dataValidation type="list" allowBlank="1" showInputMessage="1" showErrorMessage="1" sqref="I15">
      <formula1>$L$14:$L$17</formula1>
    </dataValidation>
  </dataValidations>
  <hyperlinks>
    <hyperlink ref="H48" r:id="rId1" display="www.Architekt-A.de"/>
  </hyperlinks>
  <printOptions/>
  <pageMargins left="0.2362204724409449" right="0.2362204724409449" top="0.35433070866141736" bottom="0.35433070866141736" header="0" footer="0"/>
  <pageSetup horizontalDpi="600" verticalDpi="600" orientation="landscape" paperSize="9" scale="75" r:id="rId5"/>
  <headerFooter alignWithMargins="0">
    <oddFooter>&amp;LArchitekt Ambrosius . Am Gretchenweg 6 . 24404 Maasholm . Tel.: 04246 / 969220 . info@Architekt-A.de . www.Archtekt-A.de&amp;RKostenvergleich . &amp;A . &amp;D</oddFooter>
  </headerFooter>
  <drawing r:id="rId4"/>
  <legacyDrawing r:id="rId3"/>
</worksheet>
</file>

<file path=xl/worksheets/sheet3.xml><?xml version="1.0" encoding="utf-8"?>
<worksheet xmlns="http://schemas.openxmlformats.org/spreadsheetml/2006/main" xmlns:r="http://schemas.openxmlformats.org/officeDocument/2006/relationships">
  <dimension ref="A1:Q376"/>
  <sheetViews>
    <sheetView showGridLines="0" showRowColHeaders="0" zoomScaleSheetLayoutView="100" zoomScalePageLayoutView="85" workbookViewId="0" topLeftCell="A1">
      <selection activeCell="B38" sqref="B38:B39"/>
    </sheetView>
  </sheetViews>
  <sheetFormatPr defaultColWidth="11.421875" defaultRowHeight="12.75"/>
  <cols>
    <col min="1" max="1" width="2.57421875" style="25" customWidth="1"/>
    <col min="2" max="2" width="28.57421875" style="25" customWidth="1"/>
    <col min="3" max="3" width="1.421875" style="25" customWidth="1"/>
    <col min="4" max="5" width="14.28125" style="25" customWidth="1"/>
    <col min="6" max="6" width="1.421875" style="25" customWidth="1"/>
    <col min="7" max="7" width="9.7109375" style="25" customWidth="1"/>
    <col min="8" max="8" width="1.421875" style="25" customWidth="1"/>
    <col min="9" max="10" width="14.28125" style="25" customWidth="1"/>
    <col min="11" max="11" width="4.421875" style="25" customWidth="1"/>
    <col min="12" max="12" width="11.421875" style="175" hidden="1" customWidth="1"/>
    <col min="13" max="14" width="11.421875" style="165" hidden="1" customWidth="1"/>
    <col min="15" max="15" width="11.421875" style="132" hidden="1" customWidth="1"/>
    <col min="16" max="18" width="11.421875" style="132" customWidth="1"/>
    <col min="19" max="19" width="10.28125" style="132" customWidth="1"/>
    <col min="20" max="20" width="2.7109375" style="132" customWidth="1"/>
    <col min="21" max="23" width="11.421875" style="132" customWidth="1"/>
    <col min="24" max="25" width="11.421875" style="23" customWidth="1"/>
    <col min="26" max="16384" width="11.421875" style="25" customWidth="1"/>
  </cols>
  <sheetData>
    <row r="1" spans="1:12" ht="12.75">
      <c r="A1" s="23"/>
      <c r="B1" s="23"/>
      <c r="C1" s="23"/>
      <c r="D1" s="23"/>
      <c r="E1" s="23"/>
      <c r="F1" s="23"/>
      <c r="G1" s="23"/>
      <c r="H1" s="23"/>
      <c r="I1" s="23"/>
      <c r="J1" s="23"/>
      <c r="K1" s="23"/>
      <c r="L1" s="165"/>
    </row>
    <row r="2" spans="1:12" ht="18">
      <c r="A2" s="23"/>
      <c r="B2" s="477" t="s">
        <v>58</v>
      </c>
      <c r="C2" s="478"/>
      <c r="D2" s="479"/>
      <c r="E2" s="479"/>
      <c r="F2" s="479"/>
      <c r="G2" s="479"/>
      <c r="H2" s="479"/>
      <c r="I2" s="479"/>
      <c r="J2" s="480"/>
      <c r="K2" s="23"/>
      <c r="L2" s="165"/>
    </row>
    <row r="3" spans="1:12" ht="16.5" customHeight="1">
      <c r="A3" s="23"/>
      <c r="B3" s="481" t="s">
        <v>72</v>
      </c>
      <c r="C3" s="482"/>
      <c r="D3" s="482"/>
      <c r="E3" s="482"/>
      <c r="F3" s="482"/>
      <c r="G3" s="482"/>
      <c r="H3" s="482"/>
      <c r="I3" s="482"/>
      <c r="J3" s="483"/>
      <c r="K3" s="23"/>
      <c r="L3" s="165"/>
    </row>
    <row r="4" spans="1:12" ht="12.75">
      <c r="A4" s="23"/>
      <c r="B4" s="176"/>
      <c r="C4" s="29"/>
      <c r="D4" s="29"/>
      <c r="E4" s="29"/>
      <c r="F4" s="29"/>
      <c r="G4" s="29"/>
      <c r="H4" s="29"/>
      <c r="I4" s="29"/>
      <c r="J4" s="177"/>
      <c r="K4" s="23"/>
      <c r="L4" s="165"/>
    </row>
    <row r="5" spans="1:13" ht="12.75">
      <c r="A5" s="23"/>
      <c r="B5" s="178" t="s">
        <v>13</v>
      </c>
      <c r="C5" s="21"/>
      <c r="D5" s="576" t="str">
        <f>'Eingabe-Ergebnis'!D5</f>
        <v>Ihr Neubau</v>
      </c>
      <c r="E5" s="575"/>
      <c r="F5" s="29"/>
      <c r="G5" s="486" t="s">
        <v>10</v>
      </c>
      <c r="H5" s="573"/>
      <c r="I5" s="573"/>
      <c r="J5" s="278">
        <f>'Eingabe-Ergebnis'!I5</f>
        <v>20</v>
      </c>
      <c r="K5" s="29"/>
      <c r="L5" s="165"/>
      <c r="M5" s="166">
        <v>10</v>
      </c>
    </row>
    <row r="6" spans="1:13" ht="12.75">
      <c r="A6" s="23"/>
      <c r="B6" s="178" t="s">
        <v>56</v>
      </c>
      <c r="C6" s="21"/>
      <c r="D6" s="574" t="str">
        <f>'Eingabe-Ergebnis'!D6</f>
        <v>Ihr Bauort</v>
      </c>
      <c r="E6" s="575"/>
      <c r="F6" s="47"/>
      <c r="G6" s="486" t="s">
        <v>11</v>
      </c>
      <c r="H6" s="573"/>
      <c r="I6" s="573"/>
      <c r="J6" s="242">
        <f>'Eingabe-Ergebnis'!I6</f>
        <v>2.5</v>
      </c>
      <c r="K6" s="29"/>
      <c r="L6" s="165"/>
      <c r="M6" s="166">
        <v>20</v>
      </c>
    </row>
    <row r="7" spans="1:13" ht="9" customHeight="1">
      <c r="A7" s="23"/>
      <c r="B7" s="178"/>
      <c r="C7" s="21"/>
      <c r="D7" s="29"/>
      <c r="E7" s="29"/>
      <c r="F7" s="47"/>
      <c r="G7" s="21"/>
      <c r="H7" s="45"/>
      <c r="I7" s="45"/>
      <c r="J7" s="177"/>
      <c r="K7" s="52"/>
      <c r="L7" s="165"/>
      <c r="M7" s="167">
        <v>30</v>
      </c>
    </row>
    <row r="8" spans="1:13" ht="12.75" customHeight="1">
      <c r="A8" s="23"/>
      <c r="B8" s="178" t="s">
        <v>14</v>
      </c>
      <c r="C8" s="21"/>
      <c r="D8" s="518">
        <f ca="1">TODAY()</f>
        <v>43775</v>
      </c>
      <c r="E8" s="519"/>
      <c r="F8" s="47"/>
      <c r="G8" s="520" t="s">
        <v>97</v>
      </c>
      <c r="H8" s="573"/>
      <c r="I8" s="573"/>
      <c r="J8" s="243">
        <f>'Eingabe-Ergebnis'!I8</f>
        <v>100000</v>
      </c>
      <c r="K8" s="52"/>
      <c r="L8" s="165"/>
      <c r="M8" s="166"/>
    </row>
    <row r="9" spans="1:13" ht="12.75" customHeight="1">
      <c r="A9" s="23"/>
      <c r="B9" s="178"/>
      <c r="C9" s="21"/>
      <c r="D9" s="29"/>
      <c r="E9" s="29"/>
      <c r="F9" s="520" t="s">
        <v>98</v>
      </c>
      <c r="G9" s="573"/>
      <c r="H9" s="573"/>
      <c r="I9" s="573"/>
      <c r="J9" s="244">
        <f>'Eingabe-Ergebnis'!I9</f>
        <v>0.75</v>
      </c>
      <c r="K9" s="52"/>
      <c r="L9" s="168"/>
      <c r="M9" s="166"/>
    </row>
    <row r="10" spans="1:17" ht="9" customHeight="1">
      <c r="A10" s="23"/>
      <c r="B10" s="176"/>
      <c r="C10" s="29"/>
      <c r="D10" s="29"/>
      <c r="E10" s="29"/>
      <c r="F10" s="29"/>
      <c r="G10" s="29"/>
      <c r="H10" s="29"/>
      <c r="I10" s="29"/>
      <c r="J10" s="177"/>
      <c r="K10" s="391"/>
      <c r="L10" s="55"/>
      <c r="M10" s="388"/>
      <c r="N10" s="388"/>
      <c r="O10" s="388"/>
      <c r="P10" s="388"/>
      <c r="Q10" s="388"/>
    </row>
    <row r="11" spans="1:17" ht="15">
      <c r="A11" s="23"/>
      <c r="B11" s="178" t="s">
        <v>100</v>
      </c>
      <c r="C11" s="21"/>
      <c r="D11" s="239">
        <f>'Eingabe-Ergebnis'!D11</f>
        <v>150</v>
      </c>
      <c r="E11" s="44"/>
      <c r="F11" s="29"/>
      <c r="G11" s="486"/>
      <c r="H11" s="573"/>
      <c r="I11" s="573"/>
      <c r="J11" s="177"/>
      <c r="K11" s="55"/>
      <c r="L11" s="55"/>
      <c r="M11" s="388"/>
      <c r="N11" s="388"/>
      <c r="O11" s="388"/>
      <c r="P11" s="388"/>
      <c r="Q11" s="388"/>
    </row>
    <row r="12" spans="1:17" ht="15">
      <c r="A12" s="23"/>
      <c r="B12" s="178"/>
      <c r="C12" s="21"/>
      <c r="D12" s="49"/>
      <c r="E12" s="44"/>
      <c r="F12" s="29"/>
      <c r="G12" s="21"/>
      <c r="H12" s="45"/>
      <c r="I12" s="56" t="s">
        <v>227</v>
      </c>
      <c r="J12" s="245">
        <f>'Eingabe-Ergebnis'!I12</f>
        <v>0.05</v>
      </c>
      <c r="K12" s="55"/>
      <c r="L12" s="55"/>
      <c r="M12" s="133"/>
      <c r="N12" s="388"/>
      <c r="O12" s="388"/>
      <c r="P12" s="388"/>
      <c r="Q12" s="388"/>
    </row>
    <row r="13" spans="1:17" ht="15.75" customHeight="1">
      <c r="A13" s="23"/>
      <c r="B13" s="499" t="s">
        <v>233</v>
      </c>
      <c r="C13" s="29"/>
      <c r="D13" s="240">
        <f>'Eingabe-Ergebnis'!D13</f>
        <v>2500</v>
      </c>
      <c r="E13" s="525" t="s">
        <v>217</v>
      </c>
      <c r="F13" s="525"/>
      <c r="G13" s="525"/>
      <c r="H13" s="525"/>
      <c r="I13" s="525"/>
      <c r="J13" s="375">
        <f>IF(J5=20,Energie!G30,IF(J5=30,Energie!G41,IF(J5=20,Energie!G30,IF(J5=10,Energie!G19,""))))</f>
        <v>1.6532977051444209</v>
      </c>
      <c r="K13" s="72"/>
      <c r="L13" s="55"/>
      <c r="M13" s="389">
        <f>IF(J5=20,Energie!G30,IF(J5=30,Energie!G41,IF(J5=20,Energie!G30,IF(J5=10,Energie!G19,""))))</f>
        <v>1.6532977051444209</v>
      </c>
      <c r="N13" s="388"/>
      <c r="O13" s="388"/>
      <c r="P13" s="388"/>
      <c r="Q13" s="388"/>
    </row>
    <row r="14" spans="1:17" ht="15.75" customHeight="1">
      <c r="A14" s="23"/>
      <c r="B14" s="499"/>
      <c r="C14" s="29"/>
      <c r="D14" s="44"/>
      <c r="E14" s="525"/>
      <c r="F14" s="525"/>
      <c r="G14" s="525"/>
      <c r="H14" s="525"/>
      <c r="I14" s="525"/>
      <c r="J14" s="184"/>
      <c r="K14" s="72"/>
      <c r="L14" s="55"/>
      <c r="M14" s="388">
        <v>20</v>
      </c>
      <c r="N14" s="388"/>
      <c r="O14" s="388"/>
      <c r="P14" s="388"/>
      <c r="Q14" s="388"/>
    </row>
    <row r="15" spans="1:17" ht="15.75">
      <c r="A15" s="23"/>
      <c r="B15" s="178" t="s">
        <v>57</v>
      </c>
      <c r="C15" s="29"/>
      <c r="D15" s="241">
        <f>'Eingabe-Ergebnis'!D15</f>
        <v>0.1</v>
      </c>
      <c r="E15" s="50"/>
      <c r="F15" s="29"/>
      <c r="G15" s="486" t="s">
        <v>68</v>
      </c>
      <c r="H15" s="573"/>
      <c r="I15" s="573"/>
      <c r="J15" s="278">
        <f>'Eingabe-Ergebnis'!I15</f>
        <v>30</v>
      </c>
      <c r="K15" s="388"/>
      <c r="L15" s="55"/>
      <c r="M15" s="388">
        <v>30</v>
      </c>
      <c r="N15" s="388"/>
      <c r="O15" s="388"/>
      <c r="P15" s="388"/>
      <c r="Q15" s="388"/>
    </row>
    <row r="16" spans="1:17" ht="6" customHeight="1">
      <c r="A16" s="23"/>
      <c r="B16" s="176"/>
      <c r="C16" s="29"/>
      <c r="D16" s="29"/>
      <c r="E16" s="29"/>
      <c r="F16" s="29"/>
      <c r="G16" s="73"/>
      <c r="H16" s="29"/>
      <c r="I16" s="29"/>
      <c r="J16" s="177"/>
      <c r="K16" s="388"/>
      <c r="L16" s="55"/>
      <c r="M16" s="388">
        <v>40</v>
      </c>
      <c r="N16" s="388"/>
      <c r="O16" s="388"/>
      <c r="P16" s="388"/>
      <c r="Q16" s="388"/>
    </row>
    <row r="17" spans="1:17" ht="12.75">
      <c r="A17" s="23"/>
      <c r="B17" s="176"/>
      <c r="C17" s="29"/>
      <c r="D17" s="96">
        <f>IF(I35&gt;J15,"Achtung! Die Laufzeit der Finanzierung ist noch nicht beendet!","")</f>
      </c>
      <c r="E17" s="29"/>
      <c r="F17" s="29"/>
      <c r="G17" s="96"/>
      <c r="H17" s="29"/>
      <c r="I17" s="29"/>
      <c r="J17" s="185"/>
      <c r="K17" s="388"/>
      <c r="L17" s="55"/>
      <c r="M17" s="388">
        <v>50</v>
      </c>
      <c r="N17" s="388"/>
      <c r="O17" s="388"/>
      <c r="P17" s="388"/>
      <c r="Q17" s="388"/>
    </row>
    <row r="18" spans="1:17" ht="6" customHeight="1">
      <c r="A18" s="23"/>
      <c r="B18" s="176"/>
      <c r="C18" s="29"/>
      <c r="D18" s="29"/>
      <c r="E18" s="29"/>
      <c r="F18" s="29"/>
      <c r="G18" s="29"/>
      <c r="H18" s="29"/>
      <c r="I18" s="29"/>
      <c r="J18" s="177"/>
      <c r="K18" s="388"/>
      <c r="L18" s="55"/>
      <c r="M18" s="388"/>
      <c r="N18" s="388"/>
      <c r="O18" s="388"/>
      <c r="P18" s="388"/>
      <c r="Q18" s="388"/>
    </row>
    <row r="19" spans="1:17" ht="17.25" customHeight="1">
      <c r="A19" s="23"/>
      <c r="B19" s="191"/>
      <c r="C19" s="193"/>
      <c r="D19" s="211" t="s">
        <v>53</v>
      </c>
      <c r="E19" s="193"/>
      <c r="F19" s="545" t="s">
        <v>51</v>
      </c>
      <c r="G19" s="546"/>
      <c r="H19" s="546"/>
      <c r="I19" s="193" t="s">
        <v>52</v>
      </c>
      <c r="J19" s="194"/>
      <c r="K19" s="388"/>
      <c r="L19" s="55"/>
      <c r="M19" s="388"/>
      <c r="N19" s="388"/>
      <c r="O19" s="388"/>
      <c r="P19" s="388"/>
      <c r="Q19" s="388"/>
    </row>
    <row r="20" spans="1:17" ht="13.5" hidden="1" thickBot="1">
      <c r="A20" s="23"/>
      <c r="B20" s="231"/>
      <c r="C20" s="30"/>
      <c r="D20" s="30"/>
      <c r="E20" s="30"/>
      <c r="F20" s="30"/>
      <c r="G20" s="30"/>
      <c r="H20" s="30"/>
      <c r="I20" s="30"/>
      <c r="J20" s="30"/>
      <c r="K20" s="392"/>
      <c r="L20" s="55"/>
      <c r="M20" s="388"/>
      <c r="N20" s="388"/>
      <c r="O20" s="388"/>
      <c r="P20" s="388"/>
      <c r="Q20" s="388"/>
    </row>
    <row r="21" spans="1:17" ht="27.75" hidden="1" thickBot="1">
      <c r="A21" s="23"/>
      <c r="B21" s="232" t="s">
        <v>20</v>
      </c>
      <c r="C21" s="31"/>
      <c r="D21" s="549">
        <v>72000</v>
      </c>
      <c r="E21" s="590"/>
      <c r="F21" s="32"/>
      <c r="G21" s="19">
        <f aca="true" t="shared" si="0" ref="G21:G26">IF(D21*I21=0,"",(I21-D21)/D21)</f>
        <v>0.041666666666666664</v>
      </c>
      <c r="H21" s="33"/>
      <c r="I21" s="549">
        <v>75000</v>
      </c>
      <c r="J21" s="550"/>
      <c r="K21" s="55"/>
      <c r="L21" s="55"/>
      <c r="M21" s="388"/>
      <c r="N21" s="388"/>
      <c r="O21" s="388"/>
      <c r="P21" s="388"/>
      <c r="Q21" s="388"/>
    </row>
    <row r="22" spans="1:17" ht="27.75" hidden="1" thickBot="1">
      <c r="A22" s="23"/>
      <c r="B22" s="233" t="s">
        <v>49</v>
      </c>
      <c r="C22" s="34"/>
      <c r="D22" s="557">
        <v>23000</v>
      </c>
      <c r="E22" s="558"/>
      <c r="F22" s="35"/>
      <c r="G22" s="19">
        <f t="shared" si="0"/>
        <v>0.34782608695652173</v>
      </c>
      <c r="H22" s="20"/>
      <c r="I22" s="549">
        <v>31000</v>
      </c>
      <c r="J22" s="550"/>
      <c r="K22" s="55"/>
      <c r="L22" s="55"/>
      <c r="M22" s="388"/>
      <c r="N22" s="388"/>
      <c r="O22" s="388"/>
      <c r="P22" s="388"/>
      <c r="Q22" s="388"/>
    </row>
    <row r="23" spans="1:17" ht="27.75" hidden="1" thickBot="1">
      <c r="A23" s="23"/>
      <c r="B23" s="234" t="s">
        <v>16</v>
      </c>
      <c r="C23" s="34"/>
      <c r="D23" s="557">
        <v>55000</v>
      </c>
      <c r="E23" s="558"/>
      <c r="F23" s="35"/>
      <c r="G23" s="19">
        <f t="shared" si="0"/>
        <v>0.16363636363636364</v>
      </c>
      <c r="H23" s="20"/>
      <c r="I23" s="549">
        <v>64000</v>
      </c>
      <c r="J23" s="550"/>
      <c r="K23" s="55"/>
      <c r="L23" s="55"/>
      <c r="M23" s="388"/>
      <c r="N23" s="388"/>
      <c r="O23" s="388"/>
      <c r="P23" s="388"/>
      <c r="Q23" s="388"/>
    </row>
    <row r="24" spans="1:17" ht="27.75" hidden="1" thickBot="1">
      <c r="A24" s="23"/>
      <c r="B24" s="233" t="s">
        <v>17</v>
      </c>
      <c r="C24" s="34"/>
      <c r="D24" s="559">
        <v>0</v>
      </c>
      <c r="E24" s="560"/>
      <c r="F24" s="36"/>
      <c r="G24" s="19">
        <f>IF(D24*I24=0,0,(I24-D24)/D24)</f>
        <v>0</v>
      </c>
      <c r="H24" s="20"/>
      <c r="I24" s="549">
        <v>10000</v>
      </c>
      <c r="J24" s="550"/>
      <c r="K24" s="55"/>
      <c r="L24" s="55"/>
      <c r="M24" s="388"/>
      <c r="N24" s="388"/>
      <c r="O24" s="388"/>
      <c r="P24" s="388"/>
      <c r="Q24" s="388"/>
    </row>
    <row r="25" spans="1:17" ht="27.75" hidden="1" thickBot="1">
      <c r="A25" s="23"/>
      <c r="B25" s="235" t="s">
        <v>18</v>
      </c>
      <c r="C25" s="34"/>
      <c r="D25" s="557">
        <v>15000</v>
      </c>
      <c r="E25" s="558"/>
      <c r="F25" s="35"/>
      <c r="G25" s="19">
        <f>IF(D25*I25=0,0,(I25-D25)/D25)</f>
        <v>0</v>
      </c>
      <c r="H25" s="20"/>
      <c r="I25" s="547">
        <v>0</v>
      </c>
      <c r="J25" s="548"/>
      <c r="K25" s="55"/>
      <c r="L25" s="55"/>
      <c r="M25" s="388"/>
      <c r="N25" s="388"/>
      <c r="O25" s="388"/>
      <c r="P25" s="388"/>
      <c r="Q25" s="388"/>
    </row>
    <row r="26" spans="1:17" ht="27.75" hidden="1" thickBot="1">
      <c r="A26" s="23"/>
      <c r="B26" s="236" t="s">
        <v>19</v>
      </c>
      <c r="C26" s="37"/>
      <c r="D26" s="583">
        <v>35000</v>
      </c>
      <c r="E26" s="584"/>
      <c r="F26" s="35"/>
      <c r="G26" s="46">
        <f t="shared" si="0"/>
        <v>0.014285714285714285</v>
      </c>
      <c r="H26" s="20"/>
      <c r="I26" s="565">
        <v>35500</v>
      </c>
      <c r="J26" s="566"/>
      <c r="K26" s="55"/>
      <c r="L26" s="55"/>
      <c r="M26" s="388"/>
      <c r="N26" s="388"/>
      <c r="O26" s="388"/>
      <c r="P26" s="388"/>
      <c r="Q26" s="388"/>
    </row>
    <row r="27" spans="1:17" ht="6" customHeight="1">
      <c r="A27" s="23"/>
      <c r="B27" s="217"/>
      <c r="C27" s="218"/>
      <c r="D27" s="219"/>
      <c r="E27" s="219"/>
      <c r="F27" s="219"/>
      <c r="G27" s="220"/>
      <c r="H27" s="220"/>
      <c r="I27" s="221"/>
      <c r="J27" s="222"/>
      <c r="K27" s="55"/>
      <c r="L27" s="55"/>
      <c r="M27" s="388"/>
      <c r="N27" s="388"/>
      <c r="O27" s="388"/>
      <c r="P27" s="388"/>
      <c r="Q27" s="388"/>
    </row>
    <row r="28" spans="1:17" ht="15.75" customHeight="1">
      <c r="A28" s="23"/>
      <c r="B28" s="410" t="s">
        <v>96</v>
      </c>
      <c r="C28" s="212"/>
      <c r="D28" s="586" t="str">
        <f>IF((I50-D50)&gt;0,I50-D50,"X")</f>
        <v>X</v>
      </c>
      <c r="E28" s="587"/>
      <c r="F28" s="213"/>
      <c r="G28" s="188"/>
      <c r="H28" s="214"/>
      <c r="I28" s="568">
        <f>IF((D50-I50)&gt;0,D50-I50,"X")</f>
        <v>5282.07811390725</v>
      </c>
      <c r="J28" s="569"/>
      <c r="K28" s="388"/>
      <c r="L28" s="388"/>
      <c r="M28" s="388"/>
      <c r="N28" s="388"/>
      <c r="O28" s="388"/>
      <c r="P28" s="388"/>
      <c r="Q28" s="388"/>
    </row>
    <row r="29" spans="1:17" ht="15.75" customHeight="1">
      <c r="A29" s="23"/>
      <c r="B29" s="444">
        <f>J15</f>
        <v>30</v>
      </c>
      <c r="C29" s="445"/>
      <c r="D29" s="588"/>
      <c r="E29" s="589"/>
      <c r="F29" s="215"/>
      <c r="G29" s="189"/>
      <c r="H29" s="216"/>
      <c r="I29" s="570"/>
      <c r="J29" s="571"/>
      <c r="K29" s="388"/>
      <c r="L29" s="388"/>
      <c r="M29" s="388"/>
      <c r="N29" s="388"/>
      <c r="O29" s="388"/>
      <c r="P29" s="388"/>
      <c r="Q29" s="388"/>
    </row>
    <row r="30" spans="1:17" ht="6" customHeight="1">
      <c r="A30" s="23"/>
      <c r="B30" s="186"/>
      <c r="C30" s="97"/>
      <c r="D30" s="98"/>
      <c r="E30" s="98"/>
      <c r="F30" s="98"/>
      <c r="G30" s="99"/>
      <c r="H30" s="99"/>
      <c r="I30" s="100"/>
      <c r="J30" s="187"/>
      <c r="K30" s="55"/>
      <c r="L30" s="55"/>
      <c r="M30" s="388"/>
      <c r="N30" s="388"/>
      <c r="O30" s="388"/>
      <c r="P30" s="388"/>
      <c r="Q30" s="388"/>
    </row>
    <row r="31" spans="1:17" ht="21" customHeight="1">
      <c r="A31" s="23"/>
      <c r="B31" s="225" t="s">
        <v>232</v>
      </c>
      <c r="C31" s="229"/>
      <c r="D31" s="543">
        <f>D11*D13</f>
        <v>375000</v>
      </c>
      <c r="E31" s="543"/>
      <c r="F31" s="411"/>
      <c r="G31" s="417"/>
      <c r="H31" s="412"/>
      <c r="I31" s="572">
        <f>D31+(D31*D15)</f>
        <v>412500</v>
      </c>
      <c r="J31" s="544"/>
      <c r="K31" s="55"/>
      <c r="L31" s="55"/>
      <c r="M31" s="388"/>
      <c r="N31" s="388"/>
      <c r="O31" s="388"/>
      <c r="P31" s="388"/>
      <c r="Q31" s="388"/>
    </row>
    <row r="32" spans="1:17" ht="21" customHeight="1">
      <c r="A32" s="23"/>
      <c r="B32" s="225" t="s">
        <v>231</v>
      </c>
      <c r="C32" s="197"/>
      <c r="D32" s="543">
        <f>'Lüftung Heizung Warmwasser'!I21</f>
        <v>22637.5</v>
      </c>
      <c r="E32" s="543"/>
      <c r="F32" s="203"/>
      <c r="G32" s="418"/>
      <c r="H32" s="207"/>
      <c r="I32" s="572">
        <f>'Lüftung Heizung Warmwasser'!Y21</f>
        <v>26687.5</v>
      </c>
      <c r="J32" s="544"/>
      <c r="K32" s="55"/>
      <c r="L32" s="55"/>
      <c r="M32" s="388"/>
      <c r="N32" s="388"/>
      <c r="O32" s="388"/>
      <c r="P32" s="388"/>
      <c r="Q32" s="388"/>
    </row>
    <row r="33" spans="1:17" ht="20.25" customHeight="1">
      <c r="A33" s="23"/>
      <c r="B33" s="223" t="s">
        <v>15</v>
      </c>
      <c r="C33" s="196"/>
      <c r="D33" s="581">
        <f>SUM(D31:E32)</f>
        <v>397637.5</v>
      </c>
      <c r="E33" s="582"/>
      <c r="F33" s="409"/>
      <c r="G33" s="224">
        <f>-(D33-I33)/D33</f>
        <v>0.10449215680110653</v>
      </c>
      <c r="H33" s="230"/>
      <c r="I33" s="581">
        <f>SUM(I31:J32)</f>
        <v>439187.5</v>
      </c>
      <c r="J33" s="585"/>
      <c r="K33" s="393"/>
      <c r="L33" s="55"/>
      <c r="M33" s="394"/>
      <c r="N33" s="388"/>
      <c r="O33" s="388"/>
      <c r="P33" s="388"/>
      <c r="Q33" s="388"/>
    </row>
    <row r="34" spans="1:17" ht="21" customHeight="1">
      <c r="A34" s="23"/>
      <c r="B34" s="225" t="s">
        <v>66</v>
      </c>
      <c r="C34" s="196"/>
      <c r="D34" s="578">
        <f>J6/100</f>
        <v>0.025</v>
      </c>
      <c r="E34" s="578"/>
      <c r="F34" s="195"/>
      <c r="G34" s="75"/>
      <c r="H34" s="207"/>
      <c r="I34" s="578">
        <f>J6/100</f>
        <v>0.025</v>
      </c>
      <c r="J34" s="579"/>
      <c r="K34" s="55"/>
      <c r="L34" s="55"/>
      <c r="M34" s="388"/>
      <c r="N34" s="388"/>
      <c r="O34" s="388"/>
      <c r="P34" s="388"/>
      <c r="Q34" s="388"/>
    </row>
    <row r="35" spans="1:17" ht="21" customHeight="1">
      <c r="A35" s="23"/>
      <c r="B35" s="225" t="s">
        <v>4</v>
      </c>
      <c r="C35" s="196"/>
      <c r="D35" s="567">
        <f>J5</f>
        <v>20</v>
      </c>
      <c r="E35" s="567"/>
      <c r="F35" s="195"/>
      <c r="G35" s="75"/>
      <c r="H35" s="207"/>
      <c r="I35" s="567">
        <f>Darlehen!P$378/12</f>
        <v>20.583333333333332</v>
      </c>
      <c r="J35" s="580"/>
      <c r="K35" s="55"/>
      <c r="L35" s="55"/>
      <c r="M35" s="388"/>
      <c r="N35" s="388"/>
      <c r="O35" s="388"/>
      <c r="P35" s="388"/>
      <c r="Q35" s="388"/>
    </row>
    <row r="36" spans="1:17" ht="21" customHeight="1">
      <c r="A36" s="23"/>
      <c r="B36" s="225" t="s">
        <v>99</v>
      </c>
      <c r="C36" s="197"/>
      <c r="D36" s="577" t="s">
        <v>48</v>
      </c>
      <c r="E36" s="577"/>
      <c r="F36" s="203"/>
      <c r="G36" s="75"/>
      <c r="H36" s="207"/>
      <c r="I36" s="578">
        <f>J9/100</f>
        <v>0.0075</v>
      </c>
      <c r="J36" s="579"/>
      <c r="K36" s="55"/>
      <c r="L36" s="388"/>
      <c r="M36" s="388"/>
      <c r="N36" s="388"/>
      <c r="O36" s="388"/>
      <c r="P36" s="388"/>
      <c r="Q36" s="388"/>
    </row>
    <row r="37" spans="1:17" ht="21" customHeight="1">
      <c r="A37" s="23"/>
      <c r="B37" s="225" t="s">
        <v>255</v>
      </c>
      <c r="C37" s="197"/>
      <c r="D37" s="577" t="s">
        <v>48</v>
      </c>
      <c r="E37" s="577"/>
      <c r="F37" s="203"/>
      <c r="G37" s="75"/>
      <c r="H37" s="207"/>
      <c r="I37" s="567">
        <f>Darlehen!F378/12</f>
        <v>10</v>
      </c>
      <c r="J37" s="580"/>
      <c r="K37" s="55"/>
      <c r="L37" s="388"/>
      <c r="M37" s="388"/>
      <c r="N37" s="388"/>
      <c r="O37" s="388"/>
      <c r="P37" s="388"/>
      <c r="Q37" s="388"/>
    </row>
    <row r="38" spans="1:17" ht="13.5" customHeight="1">
      <c r="A38" s="23"/>
      <c r="B38" s="561" t="s">
        <v>5</v>
      </c>
      <c r="C38" s="198"/>
      <c r="D38" s="563">
        <f>Finanzierung!C8</f>
        <v>2107.0926162810333</v>
      </c>
      <c r="E38" s="563"/>
      <c r="F38" s="204"/>
      <c r="G38" s="76"/>
      <c r="H38" s="208"/>
      <c r="I38" s="551">
        <f>Finanzierung!D8+Finanzierung!E8</f>
        <v>2107.0926162810333</v>
      </c>
      <c r="J38" s="536"/>
      <c r="K38" s="388"/>
      <c r="L38" s="388"/>
      <c r="M38" s="388"/>
      <c r="N38" s="388"/>
      <c r="O38" s="388"/>
      <c r="P38" s="388"/>
      <c r="Q38" s="388"/>
    </row>
    <row r="39" spans="1:17" ht="13.5" customHeight="1">
      <c r="A39" s="23"/>
      <c r="B39" s="562"/>
      <c r="C39" s="199"/>
      <c r="D39" s="564"/>
      <c r="E39" s="564"/>
      <c r="F39" s="204"/>
      <c r="G39" s="76"/>
      <c r="H39" s="208"/>
      <c r="I39" s="552"/>
      <c r="J39" s="538"/>
      <c r="K39" s="55"/>
      <c r="L39" s="388"/>
      <c r="M39" s="388"/>
      <c r="N39" s="388"/>
      <c r="O39" s="388"/>
      <c r="P39" s="388"/>
      <c r="Q39" s="388"/>
    </row>
    <row r="40" spans="1:17" ht="27" customHeight="1">
      <c r="A40" s="23"/>
      <c r="B40" s="226" t="s">
        <v>2</v>
      </c>
      <c r="C40" s="200"/>
      <c r="D40" s="543">
        <f>IF(J15=20,SUM(Darlehen!O9:O248),Darlehen!O369)</f>
        <v>108064.72790744765</v>
      </c>
      <c r="E40" s="543"/>
      <c r="F40" s="205"/>
      <c r="G40" s="75"/>
      <c r="H40" s="207"/>
      <c r="I40" s="543">
        <f>IF(J15=20,(SUM(Darlehen!E502)+SUM(Darlehen!O382:O627)),Darlehen!E832+Darlehen!O832)</f>
        <v>107618.67922441699</v>
      </c>
      <c r="J40" s="544"/>
      <c r="K40" s="55"/>
      <c r="L40" s="388"/>
      <c r="M40" s="388"/>
      <c r="N40" s="388"/>
      <c r="O40" s="388"/>
      <c r="P40" s="388"/>
      <c r="Q40" s="388"/>
    </row>
    <row r="41" spans="1:17" ht="15.75" customHeight="1">
      <c r="A41" s="23"/>
      <c r="B41" s="227" t="s">
        <v>102</v>
      </c>
      <c r="C41" s="201"/>
      <c r="D41" s="529">
        <f>IF(J15=20,SUM(Darlehen!N9:N248),Darlehen!N369)</f>
        <v>505702.22790745005</v>
      </c>
      <c r="E41" s="529"/>
      <c r="F41" s="209"/>
      <c r="G41" s="531">
        <f>-(D41-I41)/D41</f>
        <v>0.061506454985721735</v>
      </c>
      <c r="H41" s="210"/>
      <c r="I41" s="529">
        <f>IF(J15=20,(SUM(Darlehen!D382:D501)+SUM(Darlehen!N382:N627)+SUM(Darlehen!R382:R628)),Darlehen!D832+Darlehen!N832+Darlehen!R832)</f>
        <v>536806.1792244188</v>
      </c>
      <c r="J41" s="533"/>
      <c r="K41" s="388"/>
      <c r="L41" s="388"/>
      <c r="M41" s="395">
        <f>SUM(D41-D40)</f>
        <v>397637.5000000024</v>
      </c>
      <c r="N41" s="395">
        <f>SUM(I41-I40)</f>
        <v>429187.50000000186</v>
      </c>
      <c r="O41" s="388"/>
      <c r="P41" s="388"/>
      <c r="Q41" s="388"/>
    </row>
    <row r="42" spans="1:17" ht="15.75" customHeight="1">
      <c r="A42" s="23"/>
      <c r="B42" s="228" t="str">
        <f>IF(I35&gt;J15,CONCATENATE("über ",J15," Jahre"),"gesamt")</f>
        <v>gesamt</v>
      </c>
      <c r="C42" s="201"/>
      <c r="D42" s="530"/>
      <c r="E42" s="530"/>
      <c r="F42" s="209"/>
      <c r="G42" s="532"/>
      <c r="H42" s="210"/>
      <c r="I42" s="530"/>
      <c r="J42" s="534"/>
      <c r="K42" s="388"/>
      <c r="L42" s="388"/>
      <c r="M42" s="388"/>
      <c r="N42" s="388"/>
      <c r="O42" s="388"/>
      <c r="P42" s="388"/>
      <c r="Q42" s="388"/>
    </row>
    <row r="43" spans="1:17" ht="27" customHeight="1">
      <c r="A43" s="23"/>
      <c r="B43" s="217" t="s">
        <v>6</v>
      </c>
      <c r="C43" s="202"/>
      <c r="D43" s="555">
        <f>'Lüftung Heizung Warmwasser'!F6</f>
        <v>70</v>
      </c>
      <c r="E43" s="555"/>
      <c r="F43" s="206"/>
      <c r="G43" s="75"/>
      <c r="H43" s="207"/>
      <c r="I43" s="555">
        <f>'Lüftung Heizung Warmwasser'!V6</f>
        <v>15</v>
      </c>
      <c r="J43" s="556"/>
      <c r="K43" s="388"/>
      <c r="L43" s="388"/>
      <c r="M43" s="388"/>
      <c r="N43" s="388"/>
      <c r="O43" s="388"/>
      <c r="P43" s="388"/>
      <c r="Q43" s="388"/>
    </row>
    <row r="44" spans="1:17" ht="27" customHeight="1">
      <c r="A44" s="23"/>
      <c r="B44" s="226" t="s">
        <v>3</v>
      </c>
      <c r="C44" s="200"/>
      <c r="D44" s="543">
        <f>'Lüftung Heizung Warmwasser'!J21*Detailergebnis!J13</f>
        <v>1459.7105969025029</v>
      </c>
      <c r="E44" s="543"/>
      <c r="F44" s="205"/>
      <c r="G44" s="75"/>
      <c r="H44" s="207"/>
      <c r="I44" s="543">
        <f>'Lüftung Heizung Warmwasser'!Z21*Detailergebnis!J13</f>
        <v>493.5437924789991</v>
      </c>
      <c r="J44" s="544"/>
      <c r="K44" s="55"/>
      <c r="L44" s="388"/>
      <c r="M44" s="388"/>
      <c r="N44" s="388"/>
      <c r="O44" s="388"/>
      <c r="P44" s="388"/>
      <c r="Q44" s="388"/>
    </row>
    <row r="45" spans="1:17" ht="25.5">
      <c r="A45" s="23"/>
      <c r="B45" s="226" t="s">
        <v>67</v>
      </c>
      <c r="C45" s="200"/>
      <c r="D45" s="554" t="s">
        <v>48</v>
      </c>
      <c r="E45" s="543"/>
      <c r="F45" s="203"/>
      <c r="G45" s="75"/>
      <c r="H45" s="207"/>
      <c r="I45" s="543">
        <f>D44-I44</f>
        <v>966.1668044235038</v>
      </c>
      <c r="J45" s="544"/>
      <c r="K45" s="388"/>
      <c r="L45" s="388"/>
      <c r="M45" s="388"/>
      <c r="N45" s="388"/>
      <c r="O45" s="388"/>
      <c r="P45" s="388"/>
      <c r="Q45" s="388"/>
    </row>
    <row r="46" spans="1:17" ht="15.75" customHeight="1">
      <c r="A46" s="23"/>
      <c r="B46" s="410" t="s">
        <v>244</v>
      </c>
      <c r="C46" s="200"/>
      <c r="D46" s="529">
        <f>IF(J15=20,Energie!C30,IF(J15=30,Energie!C41,IF(J15=40,Energie!C52,IF(J15=50,Energie!C63,""))))</f>
        <v>58659.42319061418</v>
      </c>
      <c r="E46" s="529"/>
      <c r="F46" s="209"/>
      <c r="G46" s="531">
        <f>-(D46-I46)/D46</f>
        <v>-0.6618892857760326</v>
      </c>
      <c r="H46" s="230"/>
      <c r="I46" s="529">
        <f>IF(J15=20,Energie!D30,IF(J15=30,Energie!D41,IF(J15=40,Energie!D52,IF(J15=50,Energie!D63,""))))</f>
        <v>19833.37947094452</v>
      </c>
      <c r="J46" s="533"/>
      <c r="K46" s="388"/>
      <c r="L46" s="388"/>
      <c r="M46" s="388"/>
      <c r="N46" s="388"/>
      <c r="O46" s="388"/>
      <c r="P46" s="388"/>
      <c r="Q46" s="388"/>
    </row>
    <row r="47" spans="1:17" ht="15.75" customHeight="1">
      <c r="A47" s="23"/>
      <c r="B47" s="444">
        <f>J15</f>
        <v>30</v>
      </c>
      <c r="C47" s="200"/>
      <c r="D47" s="530"/>
      <c r="E47" s="530"/>
      <c r="F47" s="209"/>
      <c r="G47" s="532"/>
      <c r="H47" s="230"/>
      <c r="I47" s="530"/>
      <c r="J47" s="534"/>
      <c r="K47" s="388"/>
      <c r="L47" s="390"/>
      <c r="M47" s="388"/>
      <c r="N47" s="390"/>
      <c r="O47" s="388"/>
      <c r="P47" s="388"/>
      <c r="Q47" s="388"/>
    </row>
    <row r="48" spans="1:17" ht="12.75" customHeight="1">
      <c r="A48" s="23"/>
      <c r="B48" s="423" t="s">
        <v>249</v>
      </c>
      <c r="C48" s="421"/>
      <c r="D48" s="535">
        <f>IF(J15=20,Energie!L30,IF(J15=30,Energie!L41,IF(J15=40,Energie!L52,IF(J15=50,Energie!L63,""))))</f>
        <v>3753.8681366057062</v>
      </c>
      <c r="E48" s="536"/>
      <c r="F48" s="203"/>
      <c r="G48" s="539">
        <f>-(D48-I48)/D48</f>
        <v>0.6499999999999995</v>
      </c>
      <c r="H48" s="207"/>
      <c r="I48" s="535">
        <f>IF(J15=20,Energie!M30,IF(J15=30,Energie!M41,IF(J15=40,Energie!M52,IF(J15=50,Energie!M63,""))))</f>
        <v>6193.8824253994135</v>
      </c>
      <c r="J48" s="536"/>
      <c r="K48" s="55"/>
      <c r="L48" s="55"/>
      <c r="M48" s="388"/>
      <c r="N48" s="388"/>
      <c r="O48" s="388"/>
      <c r="P48" s="388"/>
      <c r="Q48" s="388"/>
    </row>
    <row r="49" spans="1:17" ht="12.75" customHeight="1">
      <c r="A49" s="23"/>
      <c r="B49" s="424">
        <f>J15</f>
        <v>30</v>
      </c>
      <c r="C49" s="421"/>
      <c r="D49" s="537"/>
      <c r="E49" s="538"/>
      <c r="F49" s="203"/>
      <c r="G49" s="540"/>
      <c r="H49" s="207"/>
      <c r="I49" s="537"/>
      <c r="J49" s="538"/>
      <c r="K49" s="55"/>
      <c r="L49" s="55"/>
      <c r="M49" s="388"/>
      <c r="N49" s="388"/>
      <c r="O49" s="388"/>
      <c r="P49" s="388"/>
      <c r="Q49" s="388"/>
    </row>
    <row r="50" spans="1:17" ht="15.75" customHeight="1">
      <c r="A50" s="23"/>
      <c r="B50" s="422" t="s">
        <v>1</v>
      </c>
      <c r="C50" s="413"/>
      <c r="D50" s="529">
        <f>D41+D46+D48</f>
        <v>568115.51923467</v>
      </c>
      <c r="E50" s="529"/>
      <c r="F50" s="415"/>
      <c r="G50" s="531">
        <f>-(D50-I50)/D50</f>
        <v>-0.009297542374872875</v>
      </c>
      <c r="H50" s="419"/>
      <c r="I50" s="529">
        <f>I41+I46+I48</f>
        <v>562833.4411207627</v>
      </c>
      <c r="J50" s="533"/>
      <c r="K50" s="55"/>
      <c r="L50" s="388"/>
      <c r="M50" s="388"/>
      <c r="N50" s="388"/>
      <c r="O50" s="388"/>
      <c r="P50" s="388"/>
      <c r="Q50" s="388"/>
    </row>
    <row r="51" spans="1:12" ht="15.75" customHeight="1">
      <c r="A51" s="23"/>
      <c r="B51" s="444">
        <f>J15</f>
        <v>30</v>
      </c>
      <c r="C51" s="414"/>
      <c r="D51" s="530"/>
      <c r="E51" s="530"/>
      <c r="F51" s="416"/>
      <c r="G51" s="532"/>
      <c r="H51" s="420"/>
      <c r="I51" s="530"/>
      <c r="J51" s="534"/>
      <c r="K51" s="29"/>
      <c r="L51" s="165"/>
    </row>
    <row r="52" spans="1:12" ht="18.75" customHeight="1">
      <c r="A52" s="23"/>
      <c r="B52" s="237"/>
      <c r="C52" s="238"/>
      <c r="D52" s="73"/>
      <c r="E52" s="45"/>
      <c r="F52" s="29"/>
      <c r="G52" s="164"/>
      <c r="H52" s="29"/>
      <c r="I52" s="541" t="s">
        <v>73</v>
      </c>
      <c r="J52" s="542"/>
      <c r="K52" s="23"/>
      <c r="L52" s="165"/>
    </row>
    <row r="53" spans="1:12" ht="9" customHeight="1">
      <c r="A53" s="23"/>
      <c r="B53" s="176"/>
      <c r="C53" s="29"/>
      <c r="D53" s="29"/>
      <c r="E53" s="29"/>
      <c r="F53" s="29"/>
      <c r="G53" s="29"/>
      <c r="H53" s="29"/>
      <c r="I53" s="29"/>
      <c r="J53" s="177"/>
      <c r="K53" s="23"/>
      <c r="L53" s="165"/>
    </row>
    <row r="54" spans="1:13" ht="12.75" customHeight="1">
      <c r="A54" s="23"/>
      <c r="B54" s="553" t="s">
        <v>234</v>
      </c>
      <c r="C54" s="491"/>
      <c r="D54" s="491"/>
      <c r="E54" s="491"/>
      <c r="F54" s="491"/>
      <c r="G54" s="491"/>
      <c r="H54" s="491"/>
      <c r="I54" s="491"/>
      <c r="J54" s="492"/>
      <c r="K54" s="23"/>
      <c r="L54" s="169"/>
      <c r="M54" s="169"/>
    </row>
    <row r="55" spans="1:13" ht="12.75">
      <c r="A55" s="23"/>
      <c r="B55" s="493"/>
      <c r="C55" s="494"/>
      <c r="D55" s="494"/>
      <c r="E55" s="494"/>
      <c r="F55" s="494"/>
      <c r="G55" s="494"/>
      <c r="H55" s="494"/>
      <c r="I55" s="494"/>
      <c r="J55" s="495"/>
      <c r="K55" s="23"/>
      <c r="L55" s="169"/>
      <c r="M55" s="169"/>
    </row>
    <row r="56" spans="1:13" ht="12.75">
      <c r="A56" s="23"/>
      <c r="B56" s="493"/>
      <c r="C56" s="494"/>
      <c r="D56" s="494"/>
      <c r="E56" s="494"/>
      <c r="F56" s="494"/>
      <c r="G56" s="494"/>
      <c r="H56" s="494"/>
      <c r="I56" s="494"/>
      <c r="J56" s="495"/>
      <c r="K56" s="23"/>
      <c r="L56" s="169"/>
      <c r="M56" s="169"/>
    </row>
    <row r="57" spans="1:13" ht="12.75">
      <c r="A57" s="23"/>
      <c r="B57" s="493"/>
      <c r="C57" s="494"/>
      <c r="D57" s="494"/>
      <c r="E57" s="494"/>
      <c r="F57" s="494"/>
      <c r="G57" s="494"/>
      <c r="H57" s="494"/>
      <c r="I57" s="494"/>
      <c r="J57" s="495"/>
      <c r="K57" s="23"/>
      <c r="L57" s="169"/>
      <c r="M57" s="169"/>
    </row>
    <row r="58" spans="1:13" ht="12.75">
      <c r="A58" s="23"/>
      <c r="B58" s="493"/>
      <c r="C58" s="494"/>
      <c r="D58" s="494"/>
      <c r="E58" s="494"/>
      <c r="F58" s="494"/>
      <c r="G58" s="494"/>
      <c r="H58" s="494"/>
      <c r="I58" s="494"/>
      <c r="J58" s="495"/>
      <c r="K58" s="23"/>
      <c r="L58" s="169"/>
      <c r="M58" s="169"/>
    </row>
    <row r="59" spans="1:13" ht="12.75">
      <c r="A59" s="23"/>
      <c r="B59" s="493"/>
      <c r="C59" s="494"/>
      <c r="D59" s="494"/>
      <c r="E59" s="494"/>
      <c r="F59" s="494"/>
      <c r="G59" s="494"/>
      <c r="H59" s="494"/>
      <c r="I59" s="494"/>
      <c r="J59" s="495"/>
      <c r="K59" s="23"/>
      <c r="L59" s="169"/>
      <c r="M59" s="169"/>
    </row>
    <row r="60" spans="1:13" ht="12.75">
      <c r="A60" s="23"/>
      <c r="B60" s="493"/>
      <c r="C60" s="494"/>
      <c r="D60" s="494"/>
      <c r="E60" s="494"/>
      <c r="F60" s="494"/>
      <c r="G60" s="494"/>
      <c r="H60" s="494"/>
      <c r="I60" s="494"/>
      <c r="J60" s="495"/>
      <c r="K60" s="23"/>
      <c r="L60" s="169"/>
      <c r="M60" s="169"/>
    </row>
    <row r="61" spans="1:13" ht="12.75">
      <c r="A61" s="23"/>
      <c r="B61" s="493"/>
      <c r="C61" s="494"/>
      <c r="D61" s="494"/>
      <c r="E61" s="494"/>
      <c r="F61" s="494"/>
      <c r="G61" s="494"/>
      <c r="H61" s="494"/>
      <c r="I61" s="494"/>
      <c r="J61" s="495"/>
      <c r="K61" s="23"/>
      <c r="L61" s="169"/>
      <c r="M61" s="169"/>
    </row>
    <row r="62" spans="1:13" ht="12.75">
      <c r="A62" s="23"/>
      <c r="B62" s="493"/>
      <c r="C62" s="494"/>
      <c r="D62" s="494"/>
      <c r="E62" s="494"/>
      <c r="F62" s="494"/>
      <c r="G62" s="494"/>
      <c r="H62" s="494"/>
      <c r="I62" s="494"/>
      <c r="J62" s="495"/>
      <c r="K62" s="23"/>
      <c r="L62" s="169"/>
      <c r="M62" s="169"/>
    </row>
    <row r="63" spans="1:13" ht="10.5" customHeight="1">
      <c r="A63" s="23"/>
      <c r="B63" s="496"/>
      <c r="C63" s="497"/>
      <c r="D63" s="497"/>
      <c r="E63" s="497"/>
      <c r="F63" s="497"/>
      <c r="G63" s="497"/>
      <c r="H63" s="497"/>
      <c r="I63" s="497"/>
      <c r="J63" s="498"/>
      <c r="K63" s="23"/>
      <c r="L63" s="169"/>
      <c r="M63" s="169"/>
    </row>
    <row r="64" spans="1:13" ht="12.75">
      <c r="A64" s="23"/>
      <c r="B64" s="51"/>
      <c r="C64" s="51"/>
      <c r="D64" s="51"/>
      <c r="E64" s="51"/>
      <c r="F64" s="51"/>
      <c r="G64" s="51"/>
      <c r="H64" s="51"/>
      <c r="I64" s="51"/>
      <c r="J64" s="51"/>
      <c r="K64" s="39"/>
      <c r="L64" s="169"/>
      <c r="M64" s="169"/>
    </row>
    <row r="65" spans="1:13" ht="12.75">
      <c r="A65" s="23"/>
      <c r="B65" s="51"/>
      <c r="C65" s="51"/>
      <c r="D65" s="51"/>
      <c r="E65" s="51"/>
      <c r="F65" s="51"/>
      <c r="G65" s="51"/>
      <c r="H65" s="51"/>
      <c r="I65" s="51"/>
      <c r="J65" s="51"/>
      <c r="K65" s="39"/>
      <c r="L65" s="169"/>
      <c r="M65" s="169"/>
    </row>
    <row r="66" spans="1:13" ht="12.75">
      <c r="A66" s="23"/>
      <c r="B66" s="51"/>
      <c r="C66" s="51"/>
      <c r="D66" s="51"/>
      <c r="E66" s="136"/>
      <c r="F66" s="51"/>
      <c r="G66" s="51"/>
      <c r="H66" s="51"/>
      <c r="I66" s="51"/>
      <c r="J66" s="51"/>
      <c r="K66" s="39"/>
      <c r="L66" s="169"/>
      <c r="M66" s="169"/>
    </row>
    <row r="67" spans="1:13" ht="57" customHeight="1">
      <c r="A67" s="23"/>
      <c r="B67" s="51"/>
      <c r="C67" s="48"/>
      <c r="D67" s="48"/>
      <c r="E67" s="48"/>
      <c r="F67" s="48"/>
      <c r="G67" s="48"/>
      <c r="H67" s="48"/>
      <c r="I67" s="48"/>
      <c r="J67" s="48"/>
      <c r="K67" s="39"/>
      <c r="L67" s="169"/>
      <c r="M67" s="169"/>
    </row>
    <row r="68" spans="1:13" ht="12.75" hidden="1">
      <c r="A68" s="23"/>
      <c r="B68" s="40"/>
      <c r="C68" s="41"/>
      <c r="D68" s="41"/>
      <c r="E68" s="41"/>
      <c r="F68" s="41"/>
      <c r="G68" s="41"/>
      <c r="H68" s="41"/>
      <c r="I68" s="41"/>
      <c r="J68" s="41"/>
      <c r="K68" s="41"/>
      <c r="L68" s="170"/>
      <c r="M68" s="171"/>
    </row>
    <row r="69" spans="1:13" ht="12.75" hidden="1">
      <c r="A69" s="23"/>
      <c r="B69" s="40"/>
      <c r="C69" s="41"/>
      <c r="D69" s="41"/>
      <c r="E69" s="41"/>
      <c r="F69" s="41"/>
      <c r="G69" s="41"/>
      <c r="H69" s="41"/>
      <c r="I69" s="41"/>
      <c r="J69" s="41"/>
      <c r="K69" s="41"/>
      <c r="L69" s="170"/>
      <c r="M69" s="171"/>
    </row>
    <row r="70" spans="1:13" ht="12.75" hidden="1">
      <c r="A70" s="23"/>
      <c r="B70" s="40"/>
      <c r="C70" s="41"/>
      <c r="D70" s="41"/>
      <c r="E70" s="41"/>
      <c r="F70" s="41"/>
      <c r="G70" s="41"/>
      <c r="H70" s="41"/>
      <c r="I70" s="41"/>
      <c r="J70" s="41"/>
      <c r="K70" s="41"/>
      <c r="L70" s="170"/>
      <c r="M70" s="171"/>
    </row>
    <row r="71" spans="1:13" ht="12.75" hidden="1">
      <c r="A71" s="23"/>
      <c r="B71" s="40"/>
      <c r="C71" s="41"/>
      <c r="D71" s="41"/>
      <c r="E71" s="41"/>
      <c r="F71" s="41"/>
      <c r="G71" s="41"/>
      <c r="H71" s="41"/>
      <c r="I71" s="41"/>
      <c r="J71" s="41"/>
      <c r="K71" s="41"/>
      <c r="L71" s="170"/>
      <c r="M71" s="171"/>
    </row>
    <row r="72" spans="1:13" ht="12.75" hidden="1">
      <c r="A72" s="23"/>
      <c r="B72" s="40"/>
      <c r="C72" s="41"/>
      <c r="D72" s="41"/>
      <c r="E72" s="41"/>
      <c r="F72" s="41"/>
      <c r="G72" s="41"/>
      <c r="H72" s="41"/>
      <c r="I72" s="41"/>
      <c r="J72" s="41"/>
      <c r="K72" s="41"/>
      <c r="L72" s="170"/>
      <c r="M72" s="171"/>
    </row>
    <row r="73" spans="1:13" ht="12.75" hidden="1">
      <c r="A73" s="23"/>
      <c r="B73" s="40"/>
      <c r="C73" s="41"/>
      <c r="D73" s="41"/>
      <c r="E73" s="41"/>
      <c r="F73" s="41"/>
      <c r="G73" s="41"/>
      <c r="H73" s="41"/>
      <c r="I73" s="41"/>
      <c r="J73" s="41"/>
      <c r="K73" s="41"/>
      <c r="L73" s="170"/>
      <c r="M73" s="171"/>
    </row>
    <row r="74" spans="1:13" ht="12.75" hidden="1">
      <c r="A74" s="23"/>
      <c r="B74" s="40"/>
      <c r="C74" s="41"/>
      <c r="D74" s="41"/>
      <c r="E74" s="41"/>
      <c r="F74" s="41"/>
      <c r="G74" s="41"/>
      <c r="H74" s="41"/>
      <c r="I74" s="41"/>
      <c r="J74" s="41"/>
      <c r="K74" s="41"/>
      <c r="L74" s="170"/>
      <c r="M74" s="171"/>
    </row>
    <row r="75" spans="1:13" ht="11.25" customHeight="1" hidden="1">
      <c r="A75" s="23"/>
      <c r="B75" s="40"/>
      <c r="C75" s="41"/>
      <c r="D75" s="41"/>
      <c r="E75" s="41"/>
      <c r="F75" s="41"/>
      <c r="G75" s="41"/>
      <c r="H75" s="41"/>
      <c r="I75" s="41"/>
      <c r="J75" s="41"/>
      <c r="K75" s="41"/>
      <c r="L75" s="170"/>
      <c r="M75" s="171"/>
    </row>
    <row r="76" spans="1:13" ht="12.75" hidden="1">
      <c r="A76" s="23"/>
      <c r="B76" s="40"/>
      <c r="C76" s="41"/>
      <c r="D76" s="41"/>
      <c r="E76" s="41"/>
      <c r="F76" s="41"/>
      <c r="G76" s="41"/>
      <c r="H76" s="41"/>
      <c r="I76" s="41"/>
      <c r="J76" s="41"/>
      <c r="K76" s="41"/>
      <c r="L76" s="170"/>
      <c r="M76" s="171"/>
    </row>
    <row r="77" spans="1:13" ht="12.75" hidden="1">
      <c r="A77" s="23"/>
      <c r="B77" s="40"/>
      <c r="C77" s="41"/>
      <c r="D77" s="41"/>
      <c r="E77" s="41"/>
      <c r="F77" s="41"/>
      <c r="G77" s="41"/>
      <c r="H77" s="41"/>
      <c r="I77" s="41"/>
      <c r="J77" s="41"/>
      <c r="K77" s="41"/>
      <c r="L77" s="170"/>
      <c r="M77" s="171"/>
    </row>
    <row r="78" spans="1:13" ht="8.25" customHeight="1" hidden="1">
      <c r="A78" s="23"/>
      <c r="B78" s="40"/>
      <c r="C78" s="41"/>
      <c r="D78" s="41"/>
      <c r="E78" s="41"/>
      <c r="F78" s="41"/>
      <c r="G78" s="41"/>
      <c r="H78" s="41"/>
      <c r="I78" s="41"/>
      <c r="J78" s="41"/>
      <c r="K78" s="41"/>
      <c r="L78" s="170"/>
      <c r="M78" s="171"/>
    </row>
    <row r="79" spans="1:13" ht="12.75" hidden="1">
      <c r="A79" s="23"/>
      <c r="B79" s="40"/>
      <c r="C79" s="41"/>
      <c r="D79" s="41"/>
      <c r="E79" s="41"/>
      <c r="F79" s="41"/>
      <c r="G79" s="41"/>
      <c r="H79" s="41"/>
      <c r="I79" s="41"/>
      <c r="J79" s="41"/>
      <c r="K79" s="41"/>
      <c r="L79" s="170"/>
      <c r="M79" s="171"/>
    </row>
    <row r="80" spans="1:13" ht="12.75" hidden="1">
      <c r="A80" s="23"/>
      <c r="B80" s="40"/>
      <c r="C80" s="41"/>
      <c r="D80" s="41"/>
      <c r="E80" s="41"/>
      <c r="F80" s="41"/>
      <c r="G80" s="41"/>
      <c r="H80" s="41"/>
      <c r="I80" s="41"/>
      <c r="J80" s="41"/>
      <c r="K80" s="41"/>
      <c r="L80" s="170"/>
      <c r="M80" s="171"/>
    </row>
    <row r="81" spans="1:13" ht="12.75" hidden="1">
      <c r="A81" s="23"/>
      <c r="B81" s="40"/>
      <c r="C81" s="41"/>
      <c r="D81" s="41"/>
      <c r="E81" s="41"/>
      <c r="F81" s="41"/>
      <c r="G81" s="41"/>
      <c r="H81" s="41"/>
      <c r="I81" s="41"/>
      <c r="J81" s="41"/>
      <c r="K81" s="41"/>
      <c r="L81" s="170"/>
      <c r="M81" s="171"/>
    </row>
    <row r="82" spans="1:13" ht="12.75" hidden="1">
      <c r="A82" s="23"/>
      <c r="B82" s="40"/>
      <c r="C82" s="41"/>
      <c r="D82" s="41"/>
      <c r="E82" s="41"/>
      <c r="F82" s="41"/>
      <c r="G82" s="41"/>
      <c r="H82" s="41"/>
      <c r="I82" s="41"/>
      <c r="J82" s="41"/>
      <c r="K82" s="41"/>
      <c r="L82" s="170"/>
      <c r="M82" s="171"/>
    </row>
    <row r="83" spans="1:13" ht="12.75" hidden="1">
      <c r="A83" s="23"/>
      <c r="B83" s="40"/>
      <c r="C83" s="41"/>
      <c r="D83" s="41"/>
      <c r="E83" s="41"/>
      <c r="F83" s="41"/>
      <c r="G83" s="41"/>
      <c r="H83" s="41"/>
      <c r="I83" s="41"/>
      <c r="J83" s="41"/>
      <c r="K83" s="41"/>
      <c r="L83" s="170"/>
      <c r="M83" s="171"/>
    </row>
    <row r="84" spans="1:13" ht="12.75" hidden="1">
      <c r="A84" s="23"/>
      <c r="B84" s="40"/>
      <c r="C84" s="41"/>
      <c r="D84" s="41"/>
      <c r="E84" s="41"/>
      <c r="F84" s="41"/>
      <c r="G84" s="41"/>
      <c r="H84" s="41"/>
      <c r="I84" s="41"/>
      <c r="J84" s="41"/>
      <c r="K84" s="41"/>
      <c r="L84" s="170"/>
      <c r="M84" s="171"/>
    </row>
    <row r="85" spans="1:13" ht="12.75" hidden="1">
      <c r="A85" s="23"/>
      <c r="B85" s="40"/>
      <c r="C85" s="41"/>
      <c r="D85" s="41"/>
      <c r="E85" s="41"/>
      <c r="F85" s="41"/>
      <c r="G85" s="41"/>
      <c r="H85" s="41"/>
      <c r="I85" s="41"/>
      <c r="J85" s="41"/>
      <c r="K85" s="41"/>
      <c r="L85" s="170"/>
      <c r="M85" s="171"/>
    </row>
    <row r="86" spans="1:13" ht="12.75" hidden="1">
      <c r="A86" s="23"/>
      <c r="B86" s="40"/>
      <c r="C86" s="41"/>
      <c r="D86" s="41"/>
      <c r="E86" s="41"/>
      <c r="F86" s="41"/>
      <c r="G86" s="41"/>
      <c r="H86" s="41"/>
      <c r="I86" s="41"/>
      <c r="J86" s="41"/>
      <c r="K86" s="41"/>
      <c r="L86" s="170"/>
      <c r="M86" s="171"/>
    </row>
    <row r="87" spans="1:13" ht="12.75" hidden="1">
      <c r="A87" s="23"/>
      <c r="B87" s="40"/>
      <c r="C87" s="41"/>
      <c r="D87" s="41"/>
      <c r="E87" s="41"/>
      <c r="F87" s="41"/>
      <c r="G87" s="41"/>
      <c r="H87" s="41"/>
      <c r="I87" s="41"/>
      <c r="J87" s="41"/>
      <c r="K87" s="41"/>
      <c r="L87" s="170"/>
      <c r="M87" s="171"/>
    </row>
    <row r="88" spans="1:13" ht="12.75" hidden="1">
      <c r="A88" s="23"/>
      <c r="B88" s="40"/>
      <c r="C88" s="41"/>
      <c r="D88" s="41"/>
      <c r="E88" s="41"/>
      <c r="F88" s="41"/>
      <c r="G88" s="41"/>
      <c r="H88" s="41"/>
      <c r="I88" s="41"/>
      <c r="J88" s="41"/>
      <c r="K88" s="41"/>
      <c r="L88" s="170"/>
      <c r="M88" s="171"/>
    </row>
    <row r="89" spans="1:13" ht="12.75" hidden="1">
      <c r="A89" s="23"/>
      <c r="B89" s="40"/>
      <c r="C89" s="41"/>
      <c r="D89" s="41"/>
      <c r="E89" s="41"/>
      <c r="F89" s="41"/>
      <c r="G89" s="41"/>
      <c r="H89" s="41"/>
      <c r="I89" s="41"/>
      <c r="J89" s="41"/>
      <c r="K89" s="41"/>
      <c r="L89" s="170"/>
      <c r="M89" s="171"/>
    </row>
    <row r="90" spans="1:13" ht="12.75" hidden="1">
      <c r="A90" s="23"/>
      <c r="B90" s="40"/>
      <c r="C90" s="41"/>
      <c r="D90" s="41"/>
      <c r="E90" s="41"/>
      <c r="F90" s="41"/>
      <c r="G90" s="41"/>
      <c r="H90" s="41"/>
      <c r="I90" s="41"/>
      <c r="J90" s="41"/>
      <c r="K90" s="41"/>
      <c r="L90" s="170"/>
      <c r="M90" s="171"/>
    </row>
    <row r="91" spans="1:13" ht="12.75" hidden="1">
      <c r="A91" s="23"/>
      <c r="B91" s="40"/>
      <c r="C91" s="41"/>
      <c r="D91" s="41"/>
      <c r="E91" s="41"/>
      <c r="F91" s="41"/>
      <c r="G91" s="41"/>
      <c r="H91" s="41"/>
      <c r="I91" s="41"/>
      <c r="J91" s="41"/>
      <c r="K91" s="41"/>
      <c r="L91" s="170"/>
      <c r="M91" s="171"/>
    </row>
    <row r="92" spans="1:13" ht="12.75" hidden="1">
      <c r="A92" s="23"/>
      <c r="B92" s="40"/>
      <c r="C92" s="41"/>
      <c r="D92" s="41"/>
      <c r="E92" s="41"/>
      <c r="F92" s="41"/>
      <c r="G92" s="41"/>
      <c r="H92" s="41"/>
      <c r="I92" s="41"/>
      <c r="J92" s="41"/>
      <c r="K92" s="41"/>
      <c r="L92" s="170"/>
      <c r="M92" s="171"/>
    </row>
    <row r="93" spans="1:13" ht="12.75" hidden="1">
      <c r="A93" s="23"/>
      <c r="B93" s="40"/>
      <c r="C93" s="41"/>
      <c r="D93" s="41"/>
      <c r="E93" s="41"/>
      <c r="F93" s="41"/>
      <c r="G93" s="41"/>
      <c r="H93" s="41"/>
      <c r="I93" s="41"/>
      <c r="J93" s="41"/>
      <c r="K93" s="41"/>
      <c r="L93" s="170"/>
      <c r="M93" s="171"/>
    </row>
    <row r="94" spans="1:13" ht="12.75" hidden="1">
      <c r="A94" s="23"/>
      <c r="B94" s="40"/>
      <c r="C94" s="41"/>
      <c r="D94" s="41"/>
      <c r="E94" s="41"/>
      <c r="F94" s="41"/>
      <c r="G94" s="41"/>
      <c r="H94" s="41"/>
      <c r="I94" s="41"/>
      <c r="J94" s="41"/>
      <c r="K94" s="41"/>
      <c r="L94" s="170"/>
      <c r="M94" s="171"/>
    </row>
    <row r="95" spans="1:13" ht="12.75" hidden="1">
      <c r="A95" s="23"/>
      <c r="B95" s="40"/>
      <c r="C95" s="41"/>
      <c r="D95" s="41"/>
      <c r="E95" s="41"/>
      <c r="F95" s="41"/>
      <c r="G95" s="41"/>
      <c r="H95" s="41"/>
      <c r="I95" s="41"/>
      <c r="J95" s="41"/>
      <c r="K95" s="41"/>
      <c r="L95" s="170"/>
      <c r="M95" s="171"/>
    </row>
    <row r="96" spans="1:13" ht="12.75" hidden="1">
      <c r="A96" s="23"/>
      <c r="B96" s="40"/>
      <c r="C96" s="41"/>
      <c r="D96" s="41"/>
      <c r="E96" s="41"/>
      <c r="F96" s="41"/>
      <c r="G96" s="41"/>
      <c r="H96" s="41"/>
      <c r="I96" s="41"/>
      <c r="J96" s="41"/>
      <c r="K96" s="41"/>
      <c r="L96" s="170"/>
      <c r="M96" s="171"/>
    </row>
    <row r="97" spans="1:13" ht="12.75" hidden="1">
      <c r="A97" s="23"/>
      <c r="B97" s="40"/>
      <c r="C97" s="41"/>
      <c r="D97" s="41"/>
      <c r="E97" s="41"/>
      <c r="F97" s="41"/>
      <c r="G97" s="41"/>
      <c r="H97" s="41"/>
      <c r="I97" s="41"/>
      <c r="J97" s="41"/>
      <c r="K97" s="41"/>
      <c r="L97" s="170"/>
      <c r="M97" s="171"/>
    </row>
    <row r="98" spans="1:13" ht="5.25" customHeight="1" hidden="1">
      <c r="A98" s="23"/>
      <c r="B98" s="40"/>
      <c r="C98" s="41"/>
      <c r="D98" s="41"/>
      <c r="E98" s="41"/>
      <c r="F98" s="41"/>
      <c r="G98" s="41"/>
      <c r="H98" s="41"/>
      <c r="I98" s="41"/>
      <c r="J98" s="41"/>
      <c r="K98" s="41"/>
      <c r="L98" s="170"/>
      <c r="M98" s="171"/>
    </row>
    <row r="99" spans="1:13" ht="12.75" hidden="1">
      <c r="A99" s="23"/>
      <c r="B99" s="40"/>
      <c r="C99" s="41"/>
      <c r="D99" s="41"/>
      <c r="E99" s="41"/>
      <c r="F99" s="41"/>
      <c r="G99" s="41"/>
      <c r="H99" s="41"/>
      <c r="I99" s="41"/>
      <c r="J99" s="41"/>
      <c r="K99" s="41"/>
      <c r="L99" s="170"/>
      <c r="M99" s="171"/>
    </row>
    <row r="100" spans="1:13" ht="12.75" hidden="1">
      <c r="A100" s="23"/>
      <c r="B100" s="40"/>
      <c r="C100" s="41"/>
      <c r="D100" s="41"/>
      <c r="E100" s="41"/>
      <c r="F100" s="41"/>
      <c r="G100" s="41"/>
      <c r="H100" s="41"/>
      <c r="I100" s="41"/>
      <c r="J100" s="41"/>
      <c r="K100" s="41"/>
      <c r="L100" s="170"/>
      <c r="M100" s="171"/>
    </row>
    <row r="101" spans="1:13" ht="12.75" hidden="1">
      <c r="A101" s="23"/>
      <c r="B101" s="40"/>
      <c r="C101" s="41"/>
      <c r="D101" s="41"/>
      <c r="E101" s="41"/>
      <c r="F101" s="41"/>
      <c r="G101" s="41"/>
      <c r="H101" s="41"/>
      <c r="I101" s="41"/>
      <c r="J101" s="41"/>
      <c r="K101" s="41"/>
      <c r="L101" s="170"/>
      <c r="M101" s="171"/>
    </row>
    <row r="102" spans="1:13" ht="12.75" hidden="1">
      <c r="A102" s="23"/>
      <c r="B102" s="40"/>
      <c r="C102" s="41"/>
      <c r="D102" s="41"/>
      <c r="E102" s="41"/>
      <c r="F102" s="41"/>
      <c r="G102" s="41"/>
      <c r="H102" s="41"/>
      <c r="I102" s="41"/>
      <c r="J102" s="41"/>
      <c r="K102" s="41"/>
      <c r="L102" s="170"/>
      <c r="M102" s="171"/>
    </row>
    <row r="103" spans="1:13" ht="12.75" hidden="1">
      <c r="A103" s="23"/>
      <c r="B103" s="40"/>
      <c r="C103" s="41"/>
      <c r="D103" s="41"/>
      <c r="E103" s="41"/>
      <c r="F103" s="41"/>
      <c r="G103" s="41"/>
      <c r="H103" s="41"/>
      <c r="I103" s="41"/>
      <c r="J103" s="41"/>
      <c r="K103" s="41"/>
      <c r="L103" s="170"/>
      <c r="M103" s="171"/>
    </row>
    <row r="104" spans="1:13" ht="12.75" hidden="1">
      <c r="A104" s="23"/>
      <c r="B104" s="40"/>
      <c r="C104" s="41"/>
      <c r="D104" s="41"/>
      <c r="E104" s="41"/>
      <c r="F104" s="41"/>
      <c r="G104" s="41"/>
      <c r="H104" s="41"/>
      <c r="I104" s="41"/>
      <c r="J104" s="41"/>
      <c r="K104" s="41"/>
      <c r="L104" s="170"/>
      <c r="M104" s="171"/>
    </row>
    <row r="105" spans="1:13" ht="12.75" hidden="1">
      <c r="A105" s="23"/>
      <c r="B105" s="40"/>
      <c r="C105" s="41"/>
      <c r="D105" s="41"/>
      <c r="E105" s="41"/>
      <c r="F105" s="41"/>
      <c r="G105" s="41"/>
      <c r="H105" s="41"/>
      <c r="I105" s="41"/>
      <c r="J105" s="41"/>
      <c r="K105" s="41"/>
      <c r="L105" s="170"/>
      <c r="M105" s="171"/>
    </row>
    <row r="106" spans="1:13" ht="12.75" hidden="1">
      <c r="A106" s="23"/>
      <c r="B106" s="40"/>
      <c r="C106" s="41"/>
      <c r="D106" s="41"/>
      <c r="E106" s="41"/>
      <c r="F106" s="41"/>
      <c r="G106" s="41"/>
      <c r="H106" s="41"/>
      <c r="I106" s="41"/>
      <c r="J106" s="41"/>
      <c r="K106" s="41"/>
      <c r="L106" s="170"/>
      <c r="M106" s="171"/>
    </row>
    <row r="107" spans="1:13" ht="12.75" hidden="1">
      <c r="A107" s="23"/>
      <c r="B107" s="40"/>
      <c r="C107" s="41"/>
      <c r="D107" s="41"/>
      <c r="E107" s="41"/>
      <c r="F107" s="41"/>
      <c r="G107" s="41"/>
      <c r="H107" s="41"/>
      <c r="I107" s="41"/>
      <c r="J107" s="41"/>
      <c r="K107" s="41"/>
      <c r="L107" s="170"/>
      <c r="M107" s="171"/>
    </row>
    <row r="108" spans="1:13" ht="12.75" hidden="1">
      <c r="A108" s="23"/>
      <c r="B108" s="40"/>
      <c r="C108" s="41"/>
      <c r="D108" s="41"/>
      <c r="E108" s="41"/>
      <c r="F108" s="41"/>
      <c r="G108" s="41"/>
      <c r="H108" s="41"/>
      <c r="I108" s="41"/>
      <c r="J108" s="41"/>
      <c r="K108" s="41"/>
      <c r="L108" s="170"/>
      <c r="M108" s="171"/>
    </row>
    <row r="109" spans="1:13" ht="12.75" hidden="1">
      <c r="A109" s="23"/>
      <c r="B109" s="40"/>
      <c r="C109" s="41"/>
      <c r="D109" s="41"/>
      <c r="E109" s="41"/>
      <c r="F109" s="41"/>
      <c r="G109" s="41"/>
      <c r="H109" s="41"/>
      <c r="I109" s="41"/>
      <c r="J109" s="41"/>
      <c r="K109" s="41"/>
      <c r="L109" s="170"/>
      <c r="M109" s="171"/>
    </row>
    <row r="110" spans="1:13" ht="12.75" hidden="1">
      <c r="A110" s="23"/>
      <c r="B110" s="40"/>
      <c r="C110" s="41"/>
      <c r="D110" s="41"/>
      <c r="E110" s="41"/>
      <c r="F110" s="41"/>
      <c r="G110" s="41"/>
      <c r="H110" s="41"/>
      <c r="I110" s="41"/>
      <c r="J110" s="41"/>
      <c r="K110" s="41"/>
      <c r="L110" s="170"/>
      <c r="M110" s="171"/>
    </row>
    <row r="111" spans="1:13" ht="12.75" hidden="1">
      <c r="A111" s="23"/>
      <c r="B111" s="40"/>
      <c r="C111" s="41"/>
      <c r="D111" s="41"/>
      <c r="E111" s="41"/>
      <c r="F111" s="41"/>
      <c r="G111" s="41"/>
      <c r="H111" s="41"/>
      <c r="I111" s="41"/>
      <c r="J111" s="41"/>
      <c r="K111" s="41"/>
      <c r="L111" s="170"/>
      <c r="M111" s="171"/>
    </row>
    <row r="112" spans="1:13" ht="12.75" hidden="1">
      <c r="A112" s="23"/>
      <c r="B112" s="40"/>
      <c r="C112" s="41"/>
      <c r="D112" s="41"/>
      <c r="E112" s="41"/>
      <c r="F112" s="41"/>
      <c r="G112" s="41"/>
      <c r="H112" s="41"/>
      <c r="I112" s="41"/>
      <c r="J112" s="41"/>
      <c r="K112" s="41"/>
      <c r="L112" s="170"/>
      <c r="M112" s="171"/>
    </row>
    <row r="113" spans="1:13" ht="9" customHeight="1" hidden="1">
      <c r="A113" s="23"/>
      <c r="B113" s="40"/>
      <c r="C113" s="41"/>
      <c r="D113" s="41"/>
      <c r="E113" s="41"/>
      <c r="F113" s="41"/>
      <c r="G113" s="41"/>
      <c r="H113" s="41"/>
      <c r="I113" s="41"/>
      <c r="J113" s="41"/>
      <c r="K113" s="41"/>
      <c r="L113" s="170"/>
      <c r="M113" s="171"/>
    </row>
    <row r="114" spans="1:13" ht="12.75" hidden="1">
      <c r="A114" s="23"/>
      <c r="B114" s="40"/>
      <c r="C114" s="41"/>
      <c r="D114" s="41"/>
      <c r="E114" s="41"/>
      <c r="F114" s="41"/>
      <c r="G114" s="41"/>
      <c r="H114" s="41"/>
      <c r="I114" s="41"/>
      <c r="J114" s="41"/>
      <c r="K114" s="41"/>
      <c r="L114" s="170"/>
      <c r="M114" s="171"/>
    </row>
    <row r="115" spans="1:13" ht="12.75" hidden="1">
      <c r="A115" s="23"/>
      <c r="B115" s="40"/>
      <c r="C115" s="41"/>
      <c r="D115" s="41"/>
      <c r="E115" s="41"/>
      <c r="F115" s="41"/>
      <c r="G115" s="41"/>
      <c r="H115" s="41"/>
      <c r="I115" s="41"/>
      <c r="J115" s="41"/>
      <c r="K115" s="41"/>
      <c r="L115" s="170"/>
      <c r="M115" s="171"/>
    </row>
    <row r="116" spans="1:13" ht="12.75" hidden="1">
      <c r="A116" s="23"/>
      <c r="B116" s="40"/>
      <c r="C116" s="41"/>
      <c r="D116" s="41"/>
      <c r="E116" s="41"/>
      <c r="F116" s="41"/>
      <c r="G116" s="41"/>
      <c r="H116" s="41"/>
      <c r="I116" s="41"/>
      <c r="J116" s="41"/>
      <c r="K116" s="41"/>
      <c r="L116" s="170"/>
      <c r="M116" s="171"/>
    </row>
    <row r="117" spans="1:13" ht="12.75" hidden="1">
      <c r="A117" s="23"/>
      <c r="B117" s="40"/>
      <c r="C117" s="41"/>
      <c r="D117" s="41"/>
      <c r="E117" s="41"/>
      <c r="F117" s="41"/>
      <c r="G117" s="41"/>
      <c r="H117" s="41"/>
      <c r="I117" s="41"/>
      <c r="J117" s="41"/>
      <c r="K117" s="41"/>
      <c r="L117" s="170"/>
      <c r="M117" s="171"/>
    </row>
    <row r="118" spans="1:13" ht="12.75" hidden="1">
      <c r="A118" s="23"/>
      <c r="B118" s="40"/>
      <c r="C118" s="41"/>
      <c r="D118" s="41"/>
      <c r="E118" s="41"/>
      <c r="F118" s="41"/>
      <c r="G118" s="41"/>
      <c r="H118" s="41"/>
      <c r="I118" s="41"/>
      <c r="J118" s="41"/>
      <c r="K118" s="41"/>
      <c r="L118" s="170"/>
      <c r="M118" s="171"/>
    </row>
    <row r="119" spans="1:13" ht="12.75" hidden="1">
      <c r="A119" s="23"/>
      <c r="B119" s="40"/>
      <c r="C119" s="41"/>
      <c r="D119" s="41"/>
      <c r="E119" s="41"/>
      <c r="F119" s="41"/>
      <c r="G119" s="41"/>
      <c r="H119" s="41"/>
      <c r="I119" s="41"/>
      <c r="J119" s="41"/>
      <c r="K119" s="41"/>
      <c r="L119" s="170"/>
      <c r="M119" s="171"/>
    </row>
    <row r="120" spans="1:13" ht="12.75" hidden="1">
      <c r="A120" s="23"/>
      <c r="B120" s="40"/>
      <c r="C120" s="41"/>
      <c r="D120" s="41"/>
      <c r="E120" s="41"/>
      <c r="F120" s="41"/>
      <c r="G120" s="41"/>
      <c r="H120" s="41"/>
      <c r="I120" s="41"/>
      <c r="J120" s="41"/>
      <c r="K120" s="41"/>
      <c r="L120" s="170"/>
      <c r="M120" s="171"/>
    </row>
    <row r="121" spans="1:13" ht="12.75" hidden="1">
      <c r="A121" s="23"/>
      <c r="B121" s="40"/>
      <c r="C121" s="41"/>
      <c r="D121" s="41"/>
      <c r="E121" s="41"/>
      <c r="F121" s="41"/>
      <c r="G121" s="41"/>
      <c r="H121" s="41"/>
      <c r="I121" s="41"/>
      <c r="J121" s="41"/>
      <c r="K121" s="41"/>
      <c r="L121" s="170"/>
      <c r="M121" s="171"/>
    </row>
    <row r="122" spans="1:13" ht="12.75" hidden="1">
      <c r="A122" s="23"/>
      <c r="B122" s="40"/>
      <c r="C122" s="41"/>
      <c r="D122" s="41"/>
      <c r="E122" s="41"/>
      <c r="F122" s="41"/>
      <c r="G122" s="41"/>
      <c r="H122" s="41"/>
      <c r="I122" s="41"/>
      <c r="J122" s="41"/>
      <c r="K122" s="41"/>
      <c r="L122" s="170"/>
      <c r="M122" s="171"/>
    </row>
    <row r="123" spans="1:13" ht="12.75" hidden="1">
      <c r="A123" s="23"/>
      <c r="B123" s="40"/>
      <c r="C123" s="41"/>
      <c r="D123" s="41"/>
      <c r="E123" s="41"/>
      <c r="F123" s="41"/>
      <c r="G123" s="41"/>
      <c r="H123" s="41"/>
      <c r="I123" s="41"/>
      <c r="J123" s="41"/>
      <c r="K123" s="41"/>
      <c r="L123" s="170"/>
      <c r="M123" s="171"/>
    </row>
    <row r="124" spans="1:13" ht="12.75" hidden="1">
      <c r="A124" s="23"/>
      <c r="B124" s="40"/>
      <c r="C124" s="41"/>
      <c r="D124" s="41"/>
      <c r="E124" s="41"/>
      <c r="F124" s="41"/>
      <c r="G124" s="41"/>
      <c r="H124" s="41"/>
      <c r="I124" s="41"/>
      <c r="J124" s="41"/>
      <c r="K124" s="41"/>
      <c r="L124" s="170"/>
      <c r="M124" s="171"/>
    </row>
    <row r="125" spans="1:13" ht="12.75" hidden="1">
      <c r="A125" s="23"/>
      <c r="B125" s="40"/>
      <c r="C125" s="41"/>
      <c r="D125" s="41"/>
      <c r="E125" s="41"/>
      <c r="F125" s="41"/>
      <c r="G125" s="41"/>
      <c r="H125" s="41"/>
      <c r="I125" s="41"/>
      <c r="J125" s="41"/>
      <c r="K125" s="41"/>
      <c r="L125" s="170"/>
      <c r="M125" s="171"/>
    </row>
    <row r="126" spans="1:13" ht="12.75" hidden="1">
      <c r="A126" s="23"/>
      <c r="B126" s="40"/>
      <c r="C126" s="41"/>
      <c r="D126" s="41"/>
      <c r="E126" s="41"/>
      <c r="F126" s="41"/>
      <c r="G126" s="41"/>
      <c r="H126" s="41"/>
      <c r="I126" s="41"/>
      <c r="J126" s="41"/>
      <c r="K126" s="41"/>
      <c r="L126" s="170"/>
      <c r="M126" s="171"/>
    </row>
    <row r="127" spans="1:13" ht="12.75" hidden="1">
      <c r="A127" s="23"/>
      <c r="B127" s="40"/>
      <c r="C127" s="41"/>
      <c r="D127" s="41"/>
      <c r="E127" s="41"/>
      <c r="F127" s="41"/>
      <c r="G127" s="41"/>
      <c r="H127" s="41"/>
      <c r="I127" s="41"/>
      <c r="J127" s="41"/>
      <c r="K127" s="41"/>
      <c r="L127" s="170"/>
      <c r="M127" s="171"/>
    </row>
    <row r="128" spans="1:13" ht="12.75" hidden="1">
      <c r="A128" s="23"/>
      <c r="B128" s="40"/>
      <c r="C128" s="41"/>
      <c r="D128" s="41"/>
      <c r="E128" s="41"/>
      <c r="F128" s="41"/>
      <c r="G128" s="41"/>
      <c r="H128" s="41"/>
      <c r="I128" s="41"/>
      <c r="J128" s="41"/>
      <c r="K128" s="41"/>
      <c r="L128" s="170"/>
      <c r="M128" s="171"/>
    </row>
    <row r="129" spans="1:13" ht="12.75" hidden="1">
      <c r="A129" s="23"/>
      <c r="B129" s="40"/>
      <c r="C129" s="41"/>
      <c r="D129" s="41"/>
      <c r="E129" s="41"/>
      <c r="F129" s="41"/>
      <c r="G129" s="41"/>
      <c r="H129" s="41"/>
      <c r="I129" s="41"/>
      <c r="J129" s="41"/>
      <c r="K129" s="41"/>
      <c r="L129" s="170"/>
      <c r="M129" s="171"/>
    </row>
    <row r="130" spans="1:13" ht="12.75" hidden="1">
      <c r="A130" s="23"/>
      <c r="B130" s="40"/>
      <c r="C130" s="41"/>
      <c r="D130" s="41"/>
      <c r="E130" s="41"/>
      <c r="F130" s="41"/>
      <c r="G130" s="41"/>
      <c r="H130" s="41"/>
      <c r="I130" s="41"/>
      <c r="J130" s="41"/>
      <c r="K130" s="41"/>
      <c r="L130" s="170"/>
      <c r="M130" s="171"/>
    </row>
    <row r="131" spans="1:13" ht="12.75" hidden="1">
      <c r="A131" s="23"/>
      <c r="B131" s="40"/>
      <c r="C131" s="41"/>
      <c r="D131" s="41"/>
      <c r="E131" s="41"/>
      <c r="F131" s="41"/>
      <c r="G131" s="41"/>
      <c r="H131" s="41"/>
      <c r="I131" s="41"/>
      <c r="J131" s="41"/>
      <c r="K131" s="41"/>
      <c r="L131" s="170"/>
      <c r="M131" s="171"/>
    </row>
    <row r="132" spans="1:13" ht="12.75" hidden="1">
      <c r="A132" s="23"/>
      <c r="B132" s="40"/>
      <c r="C132" s="41"/>
      <c r="D132" s="41"/>
      <c r="E132" s="41"/>
      <c r="F132" s="41"/>
      <c r="G132" s="41"/>
      <c r="H132" s="41"/>
      <c r="I132" s="41"/>
      <c r="J132" s="41"/>
      <c r="K132" s="41"/>
      <c r="L132" s="170"/>
      <c r="M132" s="171"/>
    </row>
    <row r="133" spans="1:13" ht="12.75" hidden="1">
      <c r="A133" s="23"/>
      <c r="B133" s="40"/>
      <c r="C133" s="41"/>
      <c r="D133" s="41"/>
      <c r="E133" s="41"/>
      <c r="F133" s="41"/>
      <c r="G133" s="41"/>
      <c r="H133" s="41"/>
      <c r="I133" s="41"/>
      <c r="J133" s="41"/>
      <c r="K133" s="41"/>
      <c r="L133" s="170"/>
      <c r="M133" s="171"/>
    </row>
    <row r="134" spans="1:13" ht="12.75" hidden="1">
      <c r="A134" s="23"/>
      <c r="B134" s="40"/>
      <c r="C134" s="41"/>
      <c r="D134" s="41"/>
      <c r="E134" s="41"/>
      <c r="F134" s="41"/>
      <c r="G134" s="41"/>
      <c r="H134" s="41"/>
      <c r="I134" s="41"/>
      <c r="J134" s="41"/>
      <c r="K134" s="41"/>
      <c r="L134" s="170"/>
      <c r="M134" s="171"/>
    </row>
    <row r="135" spans="1:13" ht="12.75" hidden="1">
      <c r="A135" s="23"/>
      <c r="B135" s="40"/>
      <c r="C135" s="41"/>
      <c r="D135" s="41"/>
      <c r="E135" s="41"/>
      <c r="F135" s="41"/>
      <c r="G135" s="41"/>
      <c r="H135" s="41"/>
      <c r="I135" s="41"/>
      <c r="J135" s="41"/>
      <c r="K135" s="41"/>
      <c r="L135" s="170"/>
      <c r="M135" s="171"/>
    </row>
    <row r="136" spans="1:13" ht="12.75" hidden="1">
      <c r="A136" s="23"/>
      <c r="B136" s="40"/>
      <c r="C136" s="41"/>
      <c r="D136" s="41"/>
      <c r="E136" s="41"/>
      <c r="F136" s="41"/>
      <c r="G136" s="41"/>
      <c r="H136" s="41"/>
      <c r="I136" s="41"/>
      <c r="J136" s="41"/>
      <c r="K136" s="41"/>
      <c r="L136" s="170"/>
      <c r="M136" s="171"/>
    </row>
    <row r="137" spans="1:13" ht="12.75" hidden="1">
      <c r="A137" s="23"/>
      <c r="B137" s="40"/>
      <c r="C137" s="41"/>
      <c r="D137" s="41"/>
      <c r="E137" s="41"/>
      <c r="F137" s="41"/>
      <c r="G137" s="41"/>
      <c r="H137" s="41"/>
      <c r="I137" s="41"/>
      <c r="J137" s="41"/>
      <c r="K137" s="41"/>
      <c r="L137" s="170"/>
      <c r="M137" s="171"/>
    </row>
    <row r="138" spans="1:13" ht="12.75" hidden="1">
      <c r="A138" s="23"/>
      <c r="B138" s="40"/>
      <c r="C138" s="41"/>
      <c r="D138" s="41"/>
      <c r="E138" s="41"/>
      <c r="F138" s="41"/>
      <c r="G138" s="41"/>
      <c r="H138" s="41"/>
      <c r="I138" s="41"/>
      <c r="J138" s="41"/>
      <c r="K138" s="41"/>
      <c r="L138" s="170"/>
      <c r="M138" s="171"/>
    </row>
    <row r="139" spans="1:13" ht="12.75" hidden="1">
      <c r="A139" s="23"/>
      <c r="B139" s="40"/>
      <c r="C139" s="41"/>
      <c r="D139" s="41"/>
      <c r="E139" s="41"/>
      <c r="F139" s="41"/>
      <c r="G139" s="41"/>
      <c r="H139" s="41"/>
      <c r="I139" s="41"/>
      <c r="J139" s="41"/>
      <c r="K139" s="41"/>
      <c r="L139" s="170"/>
      <c r="M139" s="171"/>
    </row>
    <row r="140" spans="1:13" ht="12.75" hidden="1">
      <c r="A140" s="23"/>
      <c r="B140" s="40"/>
      <c r="C140" s="41"/>
      <c r="D140" s="41"/>
      <c r="E140" s="41"/>
      <c r="F140" s="41"/>
      <c r="G140" s="41"/>
      <c r="H140" s="41"/>
      <c r="I140" s="41"/>
      <c r="J140" s="41"/>
      <c r="K140" s="41"/>
      <c r="L140" s="170"/>
      <c r="M140" s="171"/>
    </row>
    <row r="141" spans="1:13" ht="12.75" hidden="1">
      <c r="A141" s="23"/>
      <c r="B141" s="40"/>
      <c r="C141" s="41"/>
      <c r="D141" s="41"/>
      <c r="E141" s="41"/>
      <c r="F141" s="41"/>
      <c r="G141" s="41"/>
      <c r="H141" s="41"/>
      <c r="I141" s="41"/>
      <c r="J141" s="41"/>
      <c r="K141" s="41"/>
      <c r="L141" s="170"/>
      <c r="M141" s="171"/>
    </row>
    <row r="142" spans="1:13" ht="12.75" hidden="1">
      <c r="A142" s="23"/>
      <c r="B142" s="40"/>
      <c r="C142" s="41"/>
      <c r="D142" s="41"/>
      <c r="E142" s="41"/>
      <c r="F142" s="41"/>
      <c r="G142" s="41"/>
      <c r="H142" s="41"/>
      <c r="I142" s="41"/>
      <c r="J142" s="41"/>
      <c r="K142" s="41"/>
      <c r="L142" s="170"/>
      <c r="M142" s="171"/>
    </row>
    <row r="143" spans="1:13" ht="12.75" hidden="1">
      <c r="A143" s="23"/>
      <c r="B143" s="40"/>
      <c r="C143" s="41"/>
      <c r="D143" s="41"/>
      <c r="E143" s="41"/>
      <c r="F143" s="41"/>
      <c r="G143" s="41"/>
      <c r="H143" s="41"/>
      <c r="I143" s="41"/>
      <c r="J143" s="41"/>
      <c r="K143" s="41"/>
      <c r="L143" s="170"/>
      <c r="M143" s="171"/>
    </row>
    <row r="144" spans="1:13" ht="12.75" hidden="1">
      <c r="A144" s="23"/>
      <c r="B144" s="42"/>
      <c r="C144" s="43"/>
      <c r="D144" s="43"/>
      <c r="E144" s="43"/>
      <c r="F144" s="43"/>
      <c r="G144" s="43"/>
      <c r="H144" s="43"/>
      <c r="I144" s="43"/>
      <c r="J144" s="43"/>
      <c r="K144" s="43"/>
      <c r="L144" s="172"/>
      <c r="M144" s="173"/>
    </row>
    <row r="145" spans="1:12" ht="12.75">
      <c r="A145" s="23"/>
      <c r="B145" s="23"/>
      <c r="C145" s="23"/>
      <c r="D145" s="23"/>
      <c r="E145" s="23"/>
      <c r="F145" s="23"/>
      <c r="G145" s="23"/>
      <c r="H145" s="23"/>
      <c r="I145" s="23"/>
      <c r="J145" s="23"/>
      <c r="K145" s="23"/>
      <c r="L145" s="165"/>
    </row>
    <row r="146" spans="2:12" ht="12.75">
      <c r="B146" s="23"/>
      <c r="C146" s="23"/>
      <c r="D146" s="23"/>
      <c r="E146" s="23"/>
      <c r="F146" s="23"/>
      <c r="G146" s="23"/>
      <c r="H146" s="23"/>
      <c r="I146" s="23"/>
      <c r="J146" s="23"/>
      <c r="K146" s="23"/>
      <c r="L146" s="165"/>
    </row>
    <row r="147" spans="2:12" ht="12.75">
      <c r="B147" s="23"/>
      <c r="C147" s="23"/>
      <c r="D147" s="23"/>
      <c r="E147" s="23"/>
      <c r="F147" s="23"/>
      <c r="G147" s="23"/>
      <c r="H147" s="23"/>
      <c r="I147" s="23"/>
      <c r="J147" s="23"/>
      <c r="K147" s="23"/>
      <c r="L147" s="165"/>
    </row>
    <row r="148" spans="2:12" ht="12.75">
      <c r="B148" s="23"/>
      <c r="C148" s="23"/>
      <c r="D148" s="23"/>
      <c r="E148" s="23"/>
      <c r="F148" s="23"/>
      <c r="G148" s="23"/>
      <c r="H148" s="23"/>
      <c r="I148" s="23"/>
      <c r="J148" s="23"/>
      <c r="K148" s="23"/>
      <c r="L148" s="165"/>
    </row>
    <row r="149" spans="2:12" ht="12.75">
      <c r="B149" s="23"/>
      <c r="C149" s="23"/>
      <c r="D149" s="23"/>
      <c r="E149" s="23"/>
      <c r="F149" s="23"/>
      <c r="G149" s="23"/>
      <c r="H149" s="23"/>
      <c r="I149" s="23"/>
      <c r="J149" s="23"/>
      <c r="K149" s="23"/>
      <c r="L149" s="165"/>
    </row>
    <row r="150" spans="2:12" ht="12.75">
      <c r="B150" s="23"/>
      <c r="C150" s="23"/>
      <c r="D150" s="23"/>
      <c r="E150" s="23"/>
      <c r="F150" s="23"/>
      <c r="G150" s="23"/>
      <c r="H150" s="23"/>
      <c r="I150" s="23"/>
      <c r="J150" s="23"/>
      <c r="K150" s="23"/>
      <c r="L150" s="165"/>
    </row>
    <row r="151" spans="2:12" ht="12.75">
      <c r="B151" s="23"/>
      <c r="C151" s="23"/>
      <c r="D151" s="23"/>
      <c r="E151" s="23"/>
      <c r="F151" s="23"/>
      <c r="G151" s="23"/>
      <c r="H151" s="23"/>
      <c r="I151" s="23"/>
      <c r="J151" s="23"/>
      <c r="K151" s="23"/>
      <c r="L151" s="165"/>
    </row>
    <row r="152" spans="2:12" ht="12.75">
      <c r="B152" s="23"/>
      <c r="C152" s="23"/>
      <c r="D152" s="23"/>
      <c r="E152" s="23"/>
      <c r="F152" s="23"/>
      <c r="G152" s="23"/>
      <c r="H152" s="23"/>
      <c r="I152" s="23"/>
      <c r="J152" s="23"/>
      <c r="K152" s="23"/>
      <c r="L152" s="165"/>
    </row>
    <row r="153" spans="2:12" ht="12.75">
      <c r="B153" s="23"/>
      <c r="C153" s="23"/>
      <c r="D153" s="23"/>
      <c r="E153" s="23"/>
      <c r="F153" s="23"/>
      <c r="G153" s="23"/>
      <c r="H153" s="23"/>
      <c r="I153" s="23"/>
      <c r="J153" s="23"/>
      <c r="K153" s="23"/>
      <c r="L153" s="165"/>
    </row>
    <row r="154" spans="2:12" ht="12.75">
      <c r="B154" s="23"/>
      <c r="C154" s="23"/>
      <c r="D154" s="23"/>
      <c r="E154" s="23"/>
      <c r="F154" s="23"/>
      <c r="G154" s="23"/>
      <c r="H154" s="23"/>
      <c r="I154" s="23"/>
      <c r="J154" s="23"/>
      <c r="K154" s="23"/>
      <c r="L154" s="165"/>
    </row>
    <row r="155" spans="2:12" ht="12.75">
      <c r="B155" s="23"/>
      <c r="C155" s="23"/>
      <c r="D155" s="23"/>
      <c r="E155" s="23"/>
      <c r="F155" s="23"/>
      <c r="G155" s="23"/>
      <c r="H155" s="23"/>
      <c r="I155" s="23"/>
      <c r="J155" s="23"/>
      <c r="K155" s="23"/>
      <c r="L155" s="165"/>
    </row>
    <row r="156" spans="2:12" ht="12.75">
      <c r="B156" s="23"/>
      <c r="C156" s="23"/>
      <c r="D156" s="23"/>
      <c r="E156" s="23"/>
      <c r="F156" s="23"/>
      <c r="G156" s="23"/>
      <c r="H156" s="23"/>
      <c r="I156" s="23"/>
      <c r="J156" s="23"/>
      <c r="K156" s="23"/>
      <c r="L156" s="165"/>
    </row>
    <row r="157" spans="2:12" ht="12.75">
      <c r="B157" s="23"/>
      <c r="C157" s="23"/>
      <c r="D157" s="23"/>
      <c r="E157" s="23"/>
      <c r="F157" s="23"/>
      <c r="G157" s="23"/>
      <c r="H157" s="23"/>
      <c r="I157" s="23"/>
      <c r="J157" s="23"/>
      <c r="K157" s="23"/>
      <c r="L157" s="165"/>
    </row>
    <row r="158" spans="2:12" ht="12.75">
      <c r="B158" s="23"/>
      <c r="C158" s="23"/>
      <c r="D158" s="23"/>
      <c r="E158" s="23"/>
      <c r="F158" s="23"/>
      <c r="G158" s="23"/>
      <c r="H158" s="23"/>
      <c r="I158" s="23"/>
      <c r="J158" s="23"/>
      <c r="K158" s="23"/>
      <c r="L158" s="165"/>
    </row>
    <row r="159" spans="2:12" ht="12.75">
      <c r="B159" s="23"/>
      <c r="C159" s="23"/>
      <c r="D159" s="23"/>
      <c r="E159" s="23"/>
      <c r="F159" s="23"/>
      <c r="G159" s="23"/>
      <c r="H159" s="23"/>
      <c r="I159" s="23"/>
      <c r="J159" s="23"/>
      <c r="K159" s="23"/>
      <c r="L159" s="165"/>
    </row>
    <row r="160" spans="2:12" ht="12.75">
      <c r="B160" s="23"/>
      <c r="C160" s="23"/>
      <c r="D160" s="23"/>
      <c r="E160" s="23"/>
      <c r="F160" s="23"/>
      <c r="G160" s="23"/>
      <c r="H160" s="23"/>
      <c r="I160" s="23"/>
      <c r="J160" s="23"/>
      <c r="K160" s="23"/>
      <c r="L160" s="165"/>
    </row>
    <row r="161" spans="2:12" ht="12.75">
      <c r="B161" s="23"/>
      <c r="C161" s="23"/>
      <c r="D161" s="23"/>
      <c r="E161" s="23"/>
      <c r="F161" s="23"/>
      <c r="G161" s="23"/>
      <c r="H161" s="23"/>
      <c r="I161" s="23"/>
      <c r="J161" s="23"/>
      <c r="K161" s="23"/>
      <c r="L161" s="165"/>
    </row>
    <row r="162" spans="2:12" ht="12.75">
      <c r="B162" s="23"/>
      <c r="C162" s="23"/>
      <c r="D162" s="23"/>
      <c r="E162" s="23"/>
      <c r="F162" s="23"/>
      <c r="G162" s="23"/>
      <c r="H162" s="23"/>
      <c r="I162" s="23"/>
      <c r="J162" s="23"/>
      <c r="K162" s="23"/>
      <c r="L162" s="165"/>
    </row>
    <row r="163" spans="2:12" ht="12.75">
      <c r="B163" s="23"/>
      <c r="C163" s="23"/>
      <c r="D163" s="23"/>
      <c r="E163" s="23"/>
      <c r="F163" s="23"/>
      <c r="G163" s="23"/>
      <c r="H163" s="23"/>
      <c r="I163" s="23"/>
      <c r="J163" s="23"/>
      <c r="K163" s="23"/>
      <c r="L163" s="165"/>
    </row>
    <row r="164" spans="2:12" ht="12.75">
      <c r="B164" s="23"/>
      <c r="C164" s="23"/>
      <c r="D164" s="23"/>
      <c r="E164" s="23"/>
      <c r="F164" s="23"/>
      <c r="G164" s="23"/>
      <c r="H164" s="23"/>
      <c r="I164" s="23"/>
      <c r="J164" s="23"/>
      <c r="K164" s="23"/>
      <c r="L164" s="165"/>
    </row>
    <row r="165" spans="2:12" ht="12.75">
      <c r="B165" s="23"/>
      <c r="C165" s="23"/>
      <c r="D165" s="23"/>
      <c r="E165" s="23"/>
      <c r="F165" s="23"/>
      <c r="G165" s="23"/>
      <c r="H165" s="23"/>
      <c r="I165" s="23"/>
      <c r="J165" s="23"/>
      <c r="K165" s="23"/>
      <c r="L165" s="165"/>
    </row>
    <row r="166" spans="2:12" ht="12.75">
      <c r="B166" s="23"/>
      <c r="C166" s="23"/>
      <c r="D166" s="23"/>
      <c r="E166" s="23"/>
      <c r="F166" s="23"/>
      <c r="G166" s="23"/>
      <c r="H166" s="23"/>
      <c r="I166" s="23"/>
      <c r="J166" s="23"/>
      <c r="K166" s="23"/>
      <c r="L166" s="165"/>
    </row>
    <row r="167" spans="2:12" ht="12.75">
      <c r="B167" s="23"/>
      <c r="C167" s="23"/>
      <c r="D167" s="23"/>
      <c r="E167" s="23"/>
      <c r="F167" s="23"/>
      <c r="G167" s="23"/>
      <c r="H167" s="23"/>
      <c r="I167" s="23"/>
      <c r="J167" s="23"/>
      <c r="K167" s="23"/>
      <c r="L167" s="165"/>
    </row>
    <row r="168" spans="2:12" ht="12.75">
      <c r="B168" s="23"/>
      <c r="C168" s="23"/>
      <c r="D168" s="23"/>
      <c r="E168" s="23"/>
      <c r="F168" s="23"/>
      <c r="G168" s="23"/>
      <c r="H168" s="23"/>
      <c r="I168" s="23"/>
      <c r="J168" s="23"/>
      <c r="K168" s="23"/>
      <c r="L168" s="165"/>
    </row>
    <row r="169" spans="2:12" ht="12.75">
      <c r="B169" s="23"/>
      <c r="C169" s="23"/>
      <c r="D169" s="23"/>
      <c r="E169" s="23"/>
      <c r="F169" s="23"/>
      <c r="G169" s="23"/>
      <c r="H169" s="23"/>
      <c r="I169" s="23"/>
      <c r="J169" s="23"/>
      <c r="K169" s="23"/>
      <c r="L169" s="165"/>
    </row>
    <row r="170" spans="2:12" ht="12.75">
      <c r="B170" s="23"/>
      <c r="C170" s="23"/>
      <c r="D170" s="23"/>
      <c r="E170" s="23"/>
      <c r="F170" s="23"/>
      <c r="G170" s="23"/>
      <c r="H170" s="23"/>
      <c r="I170" s="23"/>
      <c r="J170" s="23"/>
      <c r="K170" s="23"/>
      <c r="L170" s="165"/>
    </row>
    <row r="171" spans="2:12" ht="12.75">
      <c r="B171" s="23"/>
      <c r="C171" s="23"/>
      <c r="D171" s="23"/>
      <c r="E171" s="23"/>
      <c r="F171" s="23"/>
      <c r="G171" s="23"/>
      <c r="H171" s="23"/>
      <c r="I171" s="23"/>
      <c r="J171" s="23"/>
      <c r="K171" s="23"/>
      <c r="L171" s="165"/>
    </row>
    <row r="172" spans="2:12" ht="12.75">
      <c r="B172" s="23"/>
      <c r="C172" s="23"/>
      <c r="D172" s="23"/>
      <c r="E172" s="23"/>
      <c r="F172" s="23"/>
      <c r="G172" s="23"/>
      <c r="H172" s="23"/>
      <c r="I172" s="23"/>
      <c r="J172" s="23"/>
      <c r="K172" s="23"/>
      <c r="L172" s="165"/>
    </row>
    <row r="173" spans="2:12" ht="12.75">
      <c r="B173" s="23"/>
      <c r="C173" s="23"/>
      <c r="D173" s="23"/>
      <c r="E173" s="23"/>
      <c r="F173" s="23"/>
      <c r="G173" s="23"/>
      <c r="H173" s="23"/>
      <c r="I173" s="23"/>
      <c r="J173" s="23"/>
      <c r="K173" s="23"/>
      <c r="L173" s="165"/>
    </row>
    <row r="174" spans="2:12" ht="12.75">
      <c r="B174" s="23"/>
      <c r="C174" s="23"/>
      <c r="D174" s="23"/>
      <c r="E174" s="23"/>
      <c r="F174" s="23"/>
      <c r="G174" s="23"/>
      <c r="H174" s="23"/>
      <c r="I174" s="23"/>
      <c r="J174" s="23"/>
      <c r="K174" s="23"/>
      <c r="L174" s="165"/>
    </row>
    <row r="175" spans="2:12" ht="12.75">
      <c r="B175" s="23"/>
      <c r="C175" s="23"/>
      <c r="D175" s="23"/>
      <c r="E175" s="23"/>
      <c r="F175" s="23"/>
      <c r="G175" s="23"/>
      <c r="H175" s="23"/>
      <c r="I175" s="23"/>
      <c r="J175" s="23"/>
      <c r="K175" s="23"/>
      <c r="L175" s="165"/>
    </row>
    <row r="176" spans="2:12" ht="12.75">
      <c r="B176" s="23"/>
      <c r="C176" s="23"/>
      <c r="D176" s="23"/>
      <c r="E176" s="23"/>
      <c r="F176" s="23"/>
      <c r="G176" s="23"/>
      <c r="H176" s="23"/>
      <c r="I176" s="23"/>
      <c r="J176" s="23"/>
      <c r="K176" s="23"/>
      <c r="L176" s="165"/>
    </row>
    <row r="177" spans="2:12" ht="12.75">
      <c r="B177" s="23"/>
      <c r="C177" s="23"/>
      <c r="D177" s="23"/>
      <c r="E177" s="23"/>
      <c r="F177" s="23"/>
      <c r="G177" s="23"/>
      <c r="H177" s="23"/>
      <c r="I177" s="23"/>
      <c r="J177" s="23"/>
      <c r="K177" s="23"/>
      <c r="L177" s="165"/>
    </row>
    <row r="178" spans="2:12" ht="12.75">
      <c r="B178" s="23"/>
      <c r="C178" s="23"/>
      <c r="D178" s="23"/>
      <c r="E178" s="23"/>
      <c r="F178" s="23"/>
      <c r="G178" s="23"/>
      <c r="H178" s="23"/>
      <c r="I178" s="23"/>
      <c r="J178" s="23"/>
      <c r="K178" s="23"/>
      <c r="L178" s="165"/>
    </row>
    <row r="179" spans="2:12" ht="12.75">
      <c r="B179" s="23"/>
      <c r="C179" s="23"/>
      <c r="D179" s="23"/>
      <c r="E179" s="23"/>
      <c r="F179" s="23"/>
      <c r="G179" s="23"/>
      <c r="H179" s="23"/>
      <c r="I179" s="23"/>
      <c r="J179" s="23"/>
      <c r="K179" s="23"/>
      <c r="L179" s="165"/>
    </row>
    <row r="180" spans="2:12" ht="12.75">
      <c r="B180" s="23"/>
      <c r="C180" s="23"/>
      <c r="D180" s="23"/>
      <c r="E180" s="23"/>
      <c r="F180" s="23"/>
      <c r="G180" s="23"/>
      <c r="H180" s="23"/>
      <c r="I180" s="23"/>
      <c r="J180" s="23"/>
      <c r="K180" s="23"/>
      <c r="L180" s="165"/>
    </row>
    <row r="181" spans="2:12" ht="12.75">
      <c r="B181" s="23"/>
      <c r="C181" s="23"/>
      <c r="D181" s="23"/>
      <c r="E181" s="23"/>
      <c r="F181" s="23"/>
      <c r="G181" s="23"/>
      <c r="H181" s="23"/>
      <c r="I181" s="23"/>
      <c r="J181" s="23"/>
      <c r="K181" s="23"/>
      <c r="L181" s="165"/>
    </row>
    <row r="182" spans="2:12" ht="12.75">
      <c r="B182" s="23"/>
      <c r="C182" s="23"/>
      <c r="D182" s="23"/>
      <c r="E182" s="23"/>
      <c r="F182" s="23"/>
      <c r="G182" s="23"/>
      <c r="H182" s="23"/>
      <c r="I182" s="23"/>
      <c r="J182" s="23"/>
      <c r="K182" s="23"/>
      <c r="L182" s="165"/>
    </row>
    <row r="183" spans="2:12" ht="12.75">
      <c r="B183" s="23"/>
      <c r="C183" s="23"/>
      <c r="D183" s="23"/>
      <c r="E183" s="23"/>
      <c r="F183" s="23"/>
      <c r="G183" s="23"/>
      <c r="H183" s="23"/>
      <c r="I183" s="23"/>
      <c r="J183" s="23"/>
      <c r="K183" s="23"/>
      <c r="L183" s="165"/>
    </row>
    <row r="184" spans="2:12" ht="12.75">
      <c r="B184" s="23"/>
      <c r="C184" s="23"/>
      <c r="D184" s="23"/>
      <c r="E184" s="23"/>
      <c r="F184" s="23"/>
      <c r="G184" s="23"/>
      <c r="H184" s="23"/>
      <c r="I184" s="23"/>
      <c r="J184" s="23"/>
      <c r="K184" s="23"/>
      <c r="L184" s="165"/>
    </row>
    <row r="185" spans="2:12" ht="12.75">
      <c r="B185" s="23"/>
      <c r="C185" s="23"/>
      <c r="D185" s="23"/>
      <c r="E185" s="23"/>
      <c r="F185" s="23"/>
      <c r="G185" s="23"/>
      <c r="H185" s="23"/>
      <c r="I185" s="23"/>
      <c r="J185" s="23"/>
      <c r="K185" s="23"/>
      <c r="L185" s="165"/>
    </row>
    <row r="186" spans="2:12" ht="12.75">
      <c r="B186" s="23"/>
      <c r="C186" s="23"/>
      <c r="D186" s="23"/>
      <c r="E186" s="23"/>
      <c r="F186" s="23"/>
      <c r="G186" s="23"/>
      <c r="H186" s="23"/>
      <c r="I186" s="23"/>
      <c r="J186" s="23"/>
      <c r="K186" s="23"/>
      <c r="L186" s="165"/>
    </row>
    <row r="187" spans="2:12" ht="12.75">
      <c r="B187" s="23"/>
      <c r="C187" s="23"/>
      <c r="D187" s="23"/>
      <c r="E187" s="23"/>
      <c r="F187" s="23"/>
      <c r="G187" s="23"/>
      <c r="H187" s="23"/>
      <c r="I187" s="23"/>
      <c r="J187" s="23"/>
      <c r="K187" s="23"/>
      <c r="L187" s="165"/>
    </row>
    <row r="188" spans="2:12" ht="12.75">
      <c r="B188" s="23"/>
      <c r="C188" s="23"/>
      <c r="D188" s="23"/>
      <c r="E188" s="23"/>
      <c r="F188" s="23"/>
      <c r="G188" s="23"/>
      <c r="H188" s="23"/>
      <c r="I188" s="23"/>
      <c r="J188" s="23"/>
      <c r="K188" s="23"/>
      <c r="L188" s="165"/>
    </row>
    <row r="189" spans="2:12" ht="12.75">
      <c r="B189" s="23"/>
      <c r="C189" s="23"/>
      <c r="D189" s="23"/>
      <c r="E189" s="23"/>
      <c r="F189" s="23"/>
      <c r="G189" s="23"/>
      <c r="H189" s="23"/>
      <c r="I189" s="23"/>
      <c r="J189" s="23"/>
      <c r="K189" s="23"/>
      <c r="L189" s="165"/>
    </row>
    <row r="190" spans="2:12" ht="12.75">
      <c r="B190" s="23"/>
      <c r="C190" s="23"/>
      <c r="D190" s="23"/>
      <c r="E190" s="23"/>
      <c r="F190" s="23"/>
      <c r="G190" s="23"/>
      <c r="H190" s="23"/>
      <c r="I190" s="23"/>
      <c r="J190" s="23"/>
      <c r="K190" s="23"/>
      <c r="L190" s="165"/>
    </row>
    <row r="191" spans="2:12" ht="12.75">
      <c r="B191" s="23"/>
      <c r="C191" s="23"/>
      <c r="D191" s="23"/>
      <c r="E191" s="23"/>
      <c r="F191" s="23"/>
      <c r="G191" s="23"/>
      <c r="H191" s="23"/>
      <c r="I191" s="23"/>
      <c r="J191" s="23"/>
      <c r="K191" s="23"/>
      <c r="L191" s="165"/>
    </row>
    <row r="192" spans="2:12" ht="12.75">
      <c r="B192" s="23"/>
      <c r="C192" s="23"/>
      <c r="D192" s="23"/>
      <c r="E192" s="23"/>
      <c r="F192" s="23"/>
      <c r="G192" s="23"/>
      <c r="H192" s="23"/>
      <c r="I192" s="23"/>
      <c r="J192" s="23"/>
      <c r="K192" s="23"/>
      <c r="L192" s="165"/>
    </row>
    <row r="193" spans="2:12" ht="12.75">
      <c r="B193" s="23"/>
      <c r="C193" s="23"/>
      <c r="D193" s="23"/>
      <c r="E193" s="23"/>
      <c r="F193" s="23"/>
      <c r="G193" s="23"/>
      <c r="H193" s="23"/>
      <c r="I193" s="23"/>
      <c r="J193" s="23"/>
      <c r="K193" s="23"/>
      <c r="L193" s="165"/>
    </row>
    <row r="194" spans="2:12" ht="12.75">
      <c r="B194" s="23"/>
      <c r="C194" s="23"/>
      <c r="D194" s="23"/>
      <c r="E194" s="23"/>
      <c r="F194" s="23"/>
      <c r="G194" s="23"/>
      <c r="H194" s="23"/>
      <c r="I194" s="23"/>
      <c r="J194" s="23"/>
      <c r="K194" s="23"/>
      <c r="L194" s="165"/>
    </row>
    <row r="195" spans="2:12" ht="12.75">
      <c r="B195" s="23"/>
      <c r="C195" s="23"/>
      <c r="D195" s="23"/>
      <c r="E195" s="23"/>
      <c r="F195" s="23"/>
      <c r="G195" s="23"/>
      <c r="H195" s="23"/>
      <c r="I195" s="23"/>
      <c r="J195" s="23"/>
      <c r="K195" s="23"/>
      <c r="L195" s="165"/>
    </row>
    <row r="196" spans="2:12" ht="12.75">
      <c r="B196" s="23"/>
      <c r="C196" s="23"/>
      <c r="D196" s="23"/>
      <c r="E196" s="23"/>
      <c r="F196" s="23"/>
      <c r="G196" s="23"/>
      <c r="H196" s="23"/>
      <c r="I196" s="23"/>
      <c r="J196" s="23"/>
      <c r="K196" s="23"/>
      <c r="L196" s="165"/>
    </row>
    <row r="197" spans="2:12" ht="12.75">
      <c r="B197" s="23"/>
      <c r="C197" s="23"/>
      <c r="D197" s="23"/>
      <c r="E197" s="23"/>
      <c r="F197" s="23"/>
      <c r="G197" s="23"/>
      <c r="H197" s="23"/>
      <c r="I197" s="23"/>
      <c r="J197" s="23"/>
      <c r="K197" s="23"/>
      <c r="L197" s="165"/>
    </row>
    <row r="198" spans="2:12" ht="12.75">
      <c r="B198" s="23"/>
      <c r="C198" s="23"/>
      <c r="D198" s="23"/>
      <c r="E198" s="23"/>
      <c r="F198" s="23"/>
      <c r="G198" s="23"/>
      <c r="H198" s="23"/>
      <c r="I198" s="23"/>
      <c r="J198" s="23"/>
      <c r="K198" s="23"/>
      <c r="L198" s="165"/>
    </row>
    <row r="199" spans="2:12" ht="12.75">
      <c r="B199" s="23"/>
      <c r="C199" s="23"/>
      <c r="D199" s="23"/>
      <c r="E199" s="23"/>
      <c r="F199" s="23"/>
      <c r="G199" s="23"/>
      <c r="H199" s="23"/>
      <c r="I199" s="23"/>
      <c r="J199" s="23"/>
      <c r="K199" s="23"/>
      <c r="L199" s="165"/>
    </row>
    <row r="200" spans="2:12" ht="12.75">
      <c r="B200" s="23"/>
      <c r="C200" s="23"/>
      <c r="D200" s="23"/>
      <c r="E200" s="23"/>
      <c r="F200" s="23"/>
      <c r="G200" s="23"/>
      <c r="H200" s="23"/>
      <c r="I200" s="23"/>
      <c r="J200" s="23"/>
      <c r="K200" s="23"/>
      <c r="L200" s="165"/>
    </row>
    <row r="201" spans="2:12" ht="12.75">
      <c r="B201" s="23"/>
      <c r="C201" s="23"/>
      <c r="D201" s="23"/>
      <c r="E201" s="23"/>
      <c r="F201" s="23"/>
      <c r="G201" s="23"/>
      <c r="H201" s="23"/>
      <c r="I201" s="23"/>
      <c r="J201" s="23"/>
      <c r="K201" s="23"/>
      <c r="L201" s="165"/>
    </row>
    <row r="202" spans="2:12" ht="12.75">
      <c r="B202" s="23"/>
      <c r="C202" s="23"/>
      <c r="D202" s="23"/>
      <c r="E202" s="23"/>
      <c r="F202" s="23"/>
      <c r="G202" s="23"/>
      <c r="H202" s="23"/>
      <c r="I202" s="23"/>
      <c r="J202" s="23"/>
      <c r="K202" s="23"/>
      <c r="L202" s="165"/>
    </row>
    <row r="203" spans="2:12" ht="12.75">
      <c r="B203" s="23"/>
      <c r="C203" s="23"/>
      <c r="D203" s="23"/>
      <c r="E203" s="23"/>
      <c r="F203" s="23"/>
      <c r="G203" s="23"/>
      <c r="H203" s="23"/>
      <c r="I203" s="23"/>
      <c r="J203" s="23"/>
      <c r="K203" s="23"/>
      <c r="L203" s="165"/>
    </row>
    <row r="204" spans="2:12" ht="12.75">
      <c r="B204" s="23"/>
      <c r="C204" s="23"/>
      <c r="D204" s="23"/>
      <c r="E204" s="23"/>
      <c r="F204" s="23"/>
      <c r="G204" s="23"/>
      <c r="H204" s="23"/>
      <c r="I204" s="23"/>
      <c r="J204" s="23"/>
      <c r="K204" s="23"/>
      <c r="L204" s="165"/>
    </row>
    <row r="205" spans="2:12" ht="12.75">
      <c r="B205" s="23"/>
      <c r="C205" s="23"/>
      <c r="D205" s="23"/>
      <c r="E205" s="23"/>
      <c r="F205" s="23"/>
      <c r="G205" s="23"/>
      <c r="H205" s="23"/>
      <c r="I205" s="23"/>
      <c r="J205" s="23"/>
      <c r="K205" s="23"/>
      <c r="L205" s="165"/>
    </row>
    <row r="206" spans="2:12" ht="12.75">
      <c r="B206" s="23"/>
      <c r="C206" s="23"/>
      <c r="D206" s="23"/>
      <c r="E206" s="23"/>
      <c r="F206" s="23"/>
      <c r="G206" s="23"/>
      <c r="H206" s="23"/>
      <c r="I206" s="23"/>
      <c r="J206" s="23"/>
      <c r="K206" s="23"/>
      <c r="L206" s="165"/>
    </row>
    <row r="207" spans="2:12" ht="12.75">
      <c r="B207" s="23"/>
      <c r="C207" s="23"/>
      <c r="D207" s="23"/>
      <c r="E207" s="23"/>
      <c r="F207" s="23"/>
      <c r="G207" s="23"/>
      <c r="H207" s="23"/>
      <c r="I207" s="23"/>
      <c r="J207" s="23"/>
      <c r="K207" s="23"/>
      <c r="L207" s="165"/>
    </row>
    <row r="208" spans="2:12" ht="12.75">
      <c r="B208" s="24"/>
      <c r="C208" s="24"/>
      <c r="D208" s="24"/>
      <c r="E208" s="24"/>
      <c r="F208" s="24"/>
      <c r="G208" s="24"/>
      <c r="H208" s="24"/>
      <c r="I208" s="24"/>
      <c r="J208" s="24"/>
      <c r="K208" s="24"/>
      <c r="L208" s="174"/>
    </row>
    <row r="209" spans="2:12" ht="12.75">
      <c r="B209" s="24"/>
      <c r="C209" s="24"/>
      <c r="D209" s="24"/>
      <c r="E209" s="24"/>
      <c r="F209" s="24"/>
      <c r="G209" s="24"/>
      <c r="H209" s="24"/>
      <c r="I209" s="24"/>
      <c r="J209" s="24"/>
      <c r="K209" s="24"/>
      <c r="L209" s="174"/>
    </row>
    <row r="210" spans="2:12" ht="12.75">
      <c r="B210" s="24"/>
      <c r="C210" s="24"/>
      <c r="D210" s="24"/>
      <c r="E210" s="24"/>
      <c r="F210" s="24"/>
      <c r="G210" s="24"/>
      <c r="H210" s="24"/>
      <c r="I210" s="24"/>
      <c r="J210" s="24"/>
      <c r="K210" s="24"/>
      <c r="L210" s="174"/>
    </row>
    <row r="211" spans="2:12" ht="12.75">
      <c r="B211" s="24"/>
      <c r="C211" s="24"/>
      <c r="D211" s="24"/>
      <c r="E211" s="24"/>
      <c r="F211" s="24"/>
      <c r="G211" s="24"/>
      <c r="H211" s="24"/>
      <c r="I211" s="24"/>
      <c r="J211" s="24"/>
      <c r="K211" s="24"/>
      <c r="L211" s="174"/>
    </row>
    <row r="212" spans="2:12" ht="12.75">
      <c r="B212" s="24"/>
      <c r="C212" s="24"/>
      <c r="D212" s="24"/>
      <c r="E212" s="24"/>
      <c r="F212" s="24"/>
      <c r="G212" s="24"/>
      <c r="H212" s="24"/>
      <c r="I212" s="24"/>
      <c r="J212" s="24"/>
      <c r="K212" s="24"/>
      <c r="L212" s="174"/>
    </row>
    <row r="213" spans="2:12" ht="12.75">
      <c r="B213" s="24"/>
      <c r="C213" s="24"/>
      <c r="D213" s="24"/>
      <c r="E213" s="24"/>
      <c r="F213" s="24"/>
      <c r="G213" s="24"/>
      <c r="H213" s="24"/>
      <c r="I213" s="24"/>
      <c r="J213" s="24"/>
      <c r="K213" s="24"/>
      <c r="L213" s="174"/>
    </row>
    <row r="214" spans="2:12" ht="12.75">
      <c r="B214" s="24"/>
      <c r="C214" s="24"/>
      <c r="D214" s="24"/>
      <c r="E214" s="24"/>
      <c r="F214" s="24"/>
      <c r="G214" s="24"/>
      <c r="H214" s="24"/>
      <c r="I214" s="24"/>
      <c r="J214" s="24"/>
      <c r="K214" s="24"/>
      <c r="L214" s="174"/>
    </row>
    <row r="215" spans="2:12" ht="12.75">
      <c r="B215" s="24"/>
      <c r="C215" s="24"/>
      <c r="D215" s="24"/>
      <c r="E215" s="24"/>
      <c r="F215" s="24"/>
      <c r="G215" s="24"/>
      <c r="H215" s="24"/>
      <c r="I215" s="24"/>
      <c r="J215" s="24"/>
      <c r="K215" s="24"/>
      <c r="L215" s="174"/>
    </row>
    <row r="216" spans="2:12" ht="12.75">
      <c r="B216" s="24"/>
      <c r="C216" s="24"/>
      <c r="D216" s="24"/>
      <c r="E216" s="24"/>
      <c r="F216" s="24"/>
      <c r="G216" s="24"/>
      <c r="H216" s="24"/>
      <c r="I216" s="24"/>
      <c r="J216" s="24"/>
      <c r="K216" s="24"/>
      <c r="L216" s="174"/>
    </row>
    <row r="217" spans="2:12" ht="12.75">
      <c r="B217" s="24"/>
      <c r="C217" s="24"/>
      <c r="D217" s="24"/>
      <c r="E217" s="24"/>
      <c r="F217" s="24"/>
      <c r="G217" s="24"/>
      <c r="H217" s="24"/>
      <c r="I217" s="24"/>
      <c r="J217" s="24"/>
      <c r="K217" s="24"/>
      <c r="L217" s="174"/>
    </row>
    <row r="218" spans="2:12" ht="12.75">
      <c r="B218" s="24"/>
      <c r="C218" s="24"/>
      <c r="D218" s="24"/>
      <c r="E218" s="24"/>
      <c r="F218" s="24"/>
      <c r="G218" s="24"/>
      <c r="H218" s="24"/>
      <c r="I218" s="24"/>
      <c r="J218" s="24"/>
      <c r="K218" s="24"/>
      <c r="L218" s="174"/>
    </row>
    <row r="219" spans="2:12" ht="12.75">
      <c r="B219" s="24"/>
      <c r="C219" s="24"/>
      <c r="D219" s="24"/>
      <c r="E219" s="24"/>
      <c r="F219" s="24"/>
      <c r="G219" s="24"/>
      <c r="H219" s="24"/>
      <c r="I219" s="24"/>
      <c r="J219" s="24"/>
      <c r="K219" s="24"/>
      <c r="L219" s="174"/>
    </row>
    <row r="220" spans="2:12" ht="12.75">
      <c r="B220" s="24"/>
      <c r="C220" s="24"/>
      <c r="D220" s="24"/>
      <c r="E220" s="24"/>
      <c r="F220" s="24"/>
      <c r="G220" s="24"/>
      <c r="H220" s="24"/>
      <c r="I220" s="24"/>
      <c r="J220" s="24"/>
      <c r="K220" s="24"/>
      <c r="L220" s="174"/>
    </row>
    <row r="221" spans="2:12" ht="12.75">
      <c r="B221" s="24"/>
      <c r="C221" s="24"/>
      <c r="D221" s="24"/>
      <c r="E221" s="24"/>
      <c r="F221" s="24"/>
      <c r="G221" s="24"/>
      <c r="H221" s="24"/>
      <c r="I221" s="24"/>
      <c r="J221" s="24"/>
      <c r="K221" s="24"/>
      <c r="L221" s="174"/>
    </row>
    <row r="222" spans="2:12" ht="12.75">
      <c r="B222" s="24"/>
      <c r="C222" s="24"/>
      <c r="D222" s="24"/>
      <c r="E222" s="24"/>
      <c r="F222" s="24"/>
      <c r="G222" s="24"/>
      <c r="H222" s="24"/>
      <c r="I222" s="24"/>
      <c r="J222" s="24"/>
      <c r="K222" s="24"/>
      <c r="L222" s="174"/>
    </row>
    <row r="223" spans="2:12" ht="12.75">
      <c r="B223" s="24"/>
      <c r="C223" s="24"/>
      <c r="D223" s="24"/>
      <c r="E223" s="24"/>
      <c r="F223" s="24"/>
      <c r="G223" s="24"/>
      <c r="H223" s="24"/>
      <c r="I223" s="24"/>
      <c r="J223" s="24"/>
      <c r="K223" s="24"/>
      <c r="L223" s="174"/>
    </row>
    <row r="224" spans="2:12" ht="12.75">
      <c r="B224" s="24"/>
      <c r="C224" s="24"/>
      <c r="D224" s="24"/>
      <c r="E224" s="24"/>
      <c r="F224" s="24"/>
      <c r="G224" s="24"/>
      <c r="H224" s="24"/>
      <c r="I224" s="24"/>
      <c r="J224" s="24"/>
      <c r="K224" s="24"/>
      <c r="L224" s="174"/>
    </row>
    <row r="225" spans="2:12" ht="12.75">
      <c r="B225" s="24"/>
      <c r="C225" s="24"/>
      <c r="D225" s="24"/>
      <c r="E225" s="24"/>
      <c r="F225" s="24"/>
      <c r="G225" s="24"/>
      <c r="H225" s="24"/>
      <c r="I225" s="24"/>
      <c r="J225" s="24"/>
      <c r="K225" s="24"/>
      <c r="L225" s="174"/>
    </row>
    <row r="226" spans="2:12" ht="12.75">
      <c r="B226" s="24"/>
      <c r="C226" s="24"/>
      <c r="D226" s="24"/>
      <c r="E226" s="24"/>
      <c r="F226" s="24"/>
      <c r="G226" s="24"/>
      <c r="H226" s="24"/>
      <c r="I226" s="24"/>
      <c r="J226" s="24"/>
      <c r="K226" s="24"/>
      <c r="L226" s="174"/>
    </row>
    <row r="227" spans="2:12" ht="12.75">
      <c r="B227" s="24"/>
      <c r="C227" s="24"/>
      <c r="D227" s="24"/>
      <c r="E227" s="24"/>
      <c r="F227" s="24"/>
      <c r="G227" s="24"/>
      <c r="H227" s="24"/>
      <c r="I227" s="24"/>
      <c r="J227" s="24"/>
      <c r="K227" s="24"/>
      <c r="L227" s="174"/>
    </row>
    <row r="228" spans="2:12" ht="12.75">
      <c r="B228" s="24"/>
      <c r="C228" s="24"/>
      <c r="D228" s="24"/>
      <c r="E228" s="24"/>
      <c r="F228" s="24"/>
      <c r="G228" s="24"/>
      <c r="H228" s="24"/>
      <c r="I228" s="24"/>
      <c r="J228" s="24"/>
      <c r="K228" s="24"/>
      <c r="L228" s="174"/>
    </row>
    <row r="229" spans="2:12" ht="12.75">
      <c r="B229" s="24"/>
      <c r="C229" s="24"/>
      <c r="D229" s="24"/>
      <c r="E229" s="24"/>
      <c r="F229" s="24"/>
      <c r="G229" s="24"/>
      <c r="H229" s="24"/>
      <c r="I229" s="24"/>
      <c r="J229" s="24"/>
      <c r="K229" s="24"/>
      <c r="L229" s="174"/>
    </row>
    <row r="230" spans="2:12" ht="12.75">
      <c r="B230" s="24"/>
      <c r="C230" s="24"/>
      <c r="D230" s="24"/>
      <c r="E230" s="24"/>
      <c r="F230" s="24"/>
      <c r="G230" s="24"/>
      <c r="H230" s="24"/>
      <c r="I230" s="24"/>
      <c r="J230" s="24"/>
      <c r="K230" s="24"/>
      <c r="L230" s="174"/>
    </row>
    <row r="231" spans="2:12" ht="12.75">
      <c r="B231" s="24"/>
      <c r="C231" s="24"/>
      <c r="D231" s="24"/>
      <c r="E231" s="24"/>
      <c r="F231" s="24"/>
      <c r="G231" s="24"/>
      <c r="H231" s="24"/>
      <c r="I231" s="24"/>
      <c r="J231" s="24"/>
      <c r="K231" s="24"/>
      <c r="L231" s="174"/>
    </row>
    <row r="232" spans="2:12" ht="12.75">
      <c r="B232" s="24"/>
      <c r="C232" s="24"/>
      <c r="D232" s="24"/>
      <c r="E232" s="24"/>
      <c r="F232" s="24"/>
      <c r="G232" s="24"/>
      <c r="H232" s="24"/>
      <c r="I232" s="24"/>
      <c r="J232" s="24"/>
      <c r="K232" s="24"/>
      <c r="L232" s="174"/>
    </row>
    <row r="233" spans="2:12" ht="12.75">
      <c r="B233" s="24"/>
      <c r="C233" s="24"/>
      <c r="D233" s="24"/>
      <c r="E233" s="24"/>
      <c r="F233" s="24"/>
      <c r="G233" s="24"/>
      <c r="H233" s="24"/>
      <c r="I233" s="24"/>
      <c r="J233" s="24"/>
      <c r="K233" s="24"/>
      <c r="L233" s="174"/>
    </row>
    <row r="234" spans="2:12" ht="12.75">
      <c r="B234" s="24"/>
      <c r="C234" s="24"/>
      <c r="D234" s="24"/>
      <c r="E234" s="24"/>
      <c r="F234" s="24"/>
      <c r="G234" s="24"/>
      <c r="H234" s="24"/>
      <c r="I234" s="24"/>
      <c r="J234" s="24"/>
      <c r="K234" s="24"/>
      <c r="L234" s="174"/>
    </row>
    <row r="235" spans="2:12" ht="12.75">
      <c r="B235" s="24"/>
      <c r="C235" s="24"/>
      <c r="D235" s="24"/>
      <c r="E235" s="24"/>
      <c r="F235" s="24"/>
      <c r="G235" s="24"/>
      <c r="H235" s="24"/>
      <c r="I235" s="24"/>
      <c r="J235" s="24"/>
      <c r="K235" s="24"/>
      <c r="L235" s="174"/>
    </row>
    <row r="236" spans="2:12" ht="12.75">
      <c r="B236" s="24"/>
      <c r="C236" s="24"/>
      <c r="D236" s="24"/>
      <c r="E236" s="24"/>
      <c r="F236" s="24"/>
      <c r="G236" s="24"/>
      <c r="H236" s="24"/>
      <c r="I236" s="24"/>
      <c r="J236" s="24"/>
      <c r="K236" s="24"/>
      <c r="L236" s="174"/>
    </row>
    <row r="237" spans="2:12" ht="12.75">
      <c r="B237" s="24"/>
      <c r="C237" s="24"/>
      <c r="D237" s="24"/>
      <c r="E237" s="24"/>
      <c r="F237" s="24"/>
      <c r="G237" s="24"/>
      <c r="H237" s="24"/>
      <c r="I237" s="24"/>
      <c r="J237" s="24"/>
      <c r="K237" s="24"/>
      <c r="L237" s="174"/>
    </row>
    <row r="238" spans="2:12" ht="12.75">
      <c r="B238" s="24"/>
      <c r="C238" s="24"/>
      <c r="D238" s="24"/>
      <c r="E238" s="24"/>
      <c r="F238" s="24"/>
      <c r="G238" s="24"/>
      <c r="H238" s="24"/>
      <c r="I238" s="24"/>
      <c r="J238" s="24"/>
      <c r="K238" s="24"/>
      <c r="L238" s="174"/>
    </row>
    <row r="239" spans="2:12" ht="12.75">
      <c r="B239" s="24"/>
      <c r="C239" s="24"/>
      <c r="D239" s="24"/>
      <c r="E239" s="24"/>
      <c r="F239" s="24"/>
      <c r="G239" s="24"/>
      <c r="H239" s="24"/>
      <c r="I239" s="24"/>
      <c r="J239" s="24"/>
      <c r="K239" s="24"/>
      <c r="L239" s="174"/>
    </row>
    <row r="240" spans="2:12" ht="12.75">
      <c r="B240" s="24"/>
      <c r="C240" s="24"/>
      <c r="D240" s="24"/>
      <c r="E240" s="24"/>
      <c r="F240" s="24"/>
      <c r="G240" s="24"/>
      <c r="H240" s="24"/>
      <c r="I240" s="24"/>
      <c r="J240" s="24"/>
      <c r="K240" s="24"/>
      <c r="L240" s="174"/>
    </row>
    <row r="241" spans="2:12" ht="12.75">
      <c r="B241" s="24"/>
      <c r="C241" s="24"/>
      <c r="D241" s="24"/>
      <c r="E241" s="24"/>
      <c r="F241" s="24"/>
      <c r="G241" s="24"/>
      <c r="H241" s="24"/>
      <c r="I241" s="24"/>
      <c r="J241" s="24"/>
      <c r="K241" s="24"/>
      <c r="L241" s="174"/>
    </row>
    <row r="242" spans="2:12" ht="12.75">
      <c r="B242" s="24"/>
      <c r="C242" s="24"/>
      <c r="D242" s="24"/>
      <c r="E242" s="24"/>
      <c r="F242" s="24"/>
      <c r="G242" s="24"/>
      <c r="H242" s="24"/>
      <c r="I242" s="24"/>
      <c r="J242" s="24"/>
      <c r="K242" s="24"/>
      <c r="L242" s="174"/>
    </row>
    <row r="243" spans="2:12" ht="12.75">
      <c r="B243" s="24"/>
      <c r="C243" s="24"/>
      <c r="D243" s="24"/>
      <c r="E243" s="24"/>
      <c r="F243" s="24"/>
      <c r="G243" s="24"/>
      <c r="H243" s="24"/>
      <c r="I243" s="24"/>
      <c r="J243" s="24"/>
      <c r="K243" s="24"/>
      <c r="L243" s="174"/>
    </row>
    <row r="244" spans="2:12" ht="12.75">
      <c r="B244" s="24"/>
      <c r="C244" s="24"/>
      <c r="D244" s="24"/>
      <c r="E244" s="24"/>
      <c r="F244" s="24"/>
      <c r="G244" s="24"/>
      <c r="H244" s="24"/>
      <c r="I244" s="24"/>
      <c r="J244" s="24"/>
      <c r="K244" s="24"/>
      <c r="L244" s="174"/>
    </row>
    <row r="245" spans="2:12" ht="12.75">
      <c r="B245" s="24"/>
      <c r="C245" s="24"/>
      <c r="D245" s="24"/>
      <c r="E245" s="24"/>
      <c r="F245" s="24"/>
      <c r="G245" s="24"/>
      <c r="H245" s="24"/>
      <c r="I245" s="24"/>
      <c r="J245" s="24"/>
      <c r="K245" s="24"/>
      <c r="L245" s="174"/>
    </row>
    <row r="246" spans="2:12" ht="12.75">
      <c r="B246" s="24"/>
      <c r="C246" s="24"/>
      <c r="D246" s="24"/>
      <c r="E246" s="24"/>
      <c r="F246" s="24"/>
      <c r="G246" s="24"/>
      <c r="H246" s="24"/>
      <c r="I246" s="24"/>
      <c r="J246" s="24"/>
      <c r="K246" s="24"/>
      <c r="L246" s="174"/>
    </row>
    <row r="247" spans="2:12" ht="12.75">
      <c r="B247" s="24"/>
      <c r="C247" s="24"/>
      <c r="D247" s="24"/>
      <c r="E247" s="24"/>
      <c r="F247" s="24"/>
      <c r="G247" s="24"/>
      <c r="H247" s="24"/>
      <c r="I247" s="24"/>
      <c r="J247" s="24"/>
      <c r="K247" s="24"/>
      <c r="L247" s="174"/>
    </row>
    <row r="248" spans="2:12" ht="12.75">
      <c r="B248" s="24"/>
      <c r="C248" s="24"/>
      <c r="D248" s="24"/>
      <c r="E248" s="24"/>
      <c r="F248" s="24"/>
      <c r="G248" s="24"/>
      <c r="H248" s="24"/>
      <c r="I248" s="24"/>
      <c r="J248" s="24"/>
      <c r="K248" s="24"/>
      <c r="L248" s="174"/>
    </row>
    <row r="249" spans="2:12" ht="12.75">
      <c r="B249" s="24"/>
      <c r="C249" s="24"/>
      <c r="D249" s="24"/>
      <c r="E249" s="24"/>
      <c r="F249" s="24"/>
      <c r="G249" s="24"/>
      <c r="H249" s="24"/>
      <c r="I249" s="24"/>
      <c r="J249" s="24"/>
      <c r="K249" s="24"/>
      <c r="L249" s="174"/>
    </row>
    <row r="250" spans="2:12" ht="12.75">
      <c r="B250" s="24"/>
      <c r="C250" s="24"/>
      <c r="D250" s="24"/>
      <c r="E250" s="24"/>
      <c r="F250" s="24"/>
      <c r="G250" s="24"/>
      <c r="H250" s="24"/>
      <c r="I250" s="24"/>
      <c r="J250" s="24"/>
      <c r="K250" s="24"/>
      <c r="L250" s="174"/>
    </row>
    <row r="251" spans="2:12" ht="12.75">
      <c r="B251" s="24"/>
      <c r="C251" s="24"/>
      <c r="D251" s="24"/>
      <c r="E251" s="24"/>
      <c r="F251" s="24"/>
      <c r="G251" s="24"/>
      <c r="H251" s="24"/>
      <c r="I251" s="24"/>
      <c r="J251" s="24"/>
      <c r="K251" s="24"/>
      <c r="L251" s="174"/>
    </row>
    <row r="252" spans="2:12" ht="12.75">
      <c r="B252" s="24"/>
      <c r="C252" s="24"/>
      <c r="D252" s="24"/>
      <c r="E252" s="24"/>
      <c r="F252" s="24"/>
      <c r="G252" s="24"/>
      <c r="H252" s="24"/>
      <c r="I252" s="24"/>
      <c r="J252" s="24"/>
      <c r="K252" s="24"/>
      <c r="L252" s="174"/>
    </row>
    <row r="253" spans="2:12" ht="12.75">
      <c r="B253" s="24"/>
      <c r="C253" s="24"/>
      <c r="D253" s="24"/>
      <c r="E253" s="24"/>
      <c r="F253" s="24"/>
      <c r="G253" s="24"/>
      <c r="H253" s="24"/>
      <c r="I253" s="24"/>
      <c r="J253" s="24"/>
      <c r="K253" s="24"/>
      <c r="L253" s="174"/>
    </row>
    <row r="254" spans="2:12" ht="12.75">
      <c r="B254" s="24"/>
      <c r="C254" s="24"/>
      <c r="D254" s="24"/>
      <c r="E254" s="24"/>
      <c r="F254" s="24"/>
      <c r="G254" s="24"/>
      <c r="H254" s="24"/>
      <c r="I254" s="24"/>
      <c r="J254" s="24"/>
      <c r="K254" s="24"/>
      <c r="L254" s="174"/>
    </row>
    <row r="255" spans="2:12" ht="12.75">
      <c r="B255" s="24"/>
      <c r="C255" s="24"/>
      <c r="D255" s="24"/>
      <c r="E255" s="24"/>
      <c r="F255" s="24"/>
      <c r="G255" s="24"/>
      <c r="H255" s="24"/>
      <c r="I255" s="24"/>
      <c r="J255" s="24"/>
      <c r="K255" s="24"/>
      <c r="L255" s="174"/>
    </row>
    <row r="256" spans="2:12" ht="12.75">
      <c r="B256" s="24"/>
      <c r="C256" s="24"/>
      <c r="D256" s="24"/>
      <c r="E256" s="24"/>
      <c r="F256" s="24"/>
      <c r="G256" s="24"/>
      <c r="H256" s="24"/>
      <c r="I256" s="24"/>
      <c r="J256" s="24"/>
      <c r="K256" s="24"/>
      <c r="L256" s="174"/>
    </row>
    <row r="257" spans="2:12" ht="12.75">
      <c r="B257" s="24"/>
      <c r="C257" s="24"/>
      <c r="D257" s="24"/>
      <c r="E257" s="24"/>
      <c r="F257" s="24"/>
      <c r="G257" s="24"/>
      <c r="H257" s="24"/>
      <c r="I257" s="24"/>
      <c r="J257" s="24"/>
      <c r="K257" s="24"/>
      <c r="L257" s="174"/>
    </row>
    <row r="258" spans="2:12" ht="12.75">
      <c r="B258" s="24"/>
      <c r="C258" s="24"/>
      <c r="D258" s="24"/>
      <c r="E258" s="24"/>
      <c r="F258" s="24"/>
      <c r="G258" s="24"/>
      <c r="H258" s="24"/>
      <c r="I258" s="24"/>
      <c r="J258" s="24"/>
      <c r="K258" s="24"/>
      <c r="L258" s="174"/>
    </row>
    <row r="259" spans="2:12" ht="12.75">
      <c r="B259" s="24"/>
      <c r="C259" s="24"/>
      <c r="D259" s="24"/>
      <c r="E259" s="24"/>
      <c r="F259" s="24"/>
      <c r="G259" s="24"/>
      <c r="H259" s="24"/>
      <c r="I259" s="24"/>
      <c r="J259" s="24"/>
      <c r="K259" s="24"/>
      <c r="L259" s="174"/>
    </row>
    <row r="260" spans="2:12" ht="12.75">
      <c r="B260" s="24"/>
      <c r="C260" s="24"/>
      <c r="D260" s="24"/>
      <c r="E260" s="24"/>
      <c r="F260" s="24"/>
      <c r="G260" s="24"/>
      <c r="H260" s="24"/>
      <c r="I260" s="24"/>
      <c r="J260" s="24"/>
      <c r="K260" s="24"/>
      <c r="L260" s="174"/>
    </row>
    <row r="261" spans="2:12" ht="12.75">
      <c r="B261" s="24"/>
      <c r="C261" s="24"/>
      <c r="D261" s="24"/>
      <c r="E261" s="24"/>
      <c r="F261" s="24"/>
      <c r="G261" s="24"/>
      <c r="H261" s="24"/>
      <c r="I261" s="24"/>
      <c r="J261" s="24"/>
      <c r="K261" s="24"/>
      <c r="L261" s="174"/>
    </row>
    <row r="262" spans="2:12" ht="12.75">
      <c r="B262" s="24"/>
      <c r="C262" s="24"/>
      <c r="D262" s="24"/>
      <c r="E262" s="24"/>
      <c r="F262" s="24"/>
      <c r="G262" s="24"/>
      <c r="H262" s="24"/>
      <c r="I262" s="24"/>
      <c r="J262" s="24"/>
      <c r="K262" s="24"/>
      <c r="L262" s="174"/>
    </row>
    <row r="263" spans="2:12" ht="12.75">
      <c r="B263" s="24"/>
      <c r="C263" s="24"/>
      <c r="D263" s="24"/>
      <c r="E263" s="24"/>
      <c r="F263" s="24"/>
      <c r="G263" s="24"/>
      <c r="H263" s="24"/>
      <c r="I263" s="24"/>
      <c r="J263" s="24"/>
      <c r="K263" s="24"/>
      <c r="L263" s="174"/>
    </row>
    <row r="264" spans="2:12" ht="12.75">
      <c r="B264" s="24"/>
      <c r="C264" s="24"/>
      <c r="D264" s="24"/>
      <c r="E264" s="24"/>
      <c r="F264" s="24"/>
      <c r="G264" s="24"/>
      <c r="H264" s="24"/>
      <c r="I264" s="24"/>
      <c r="J264" s="24"/>
      <c r="K264" s="24"/>
      <c r="L264" s="174"/>
    </row>
    <row r="265" spans="2:12" ht="12.75">
      <c r="B265" s="24"/>
      <c r="C265" s="24"/>
      <c r="D265" s="24"/>
      <c r="E265" s="24"/>
      <c r="F265" s="24"/>
      <c r="G265" s="24"/>
      <c r="H265" s="24"/>
      <c r="I265" s="24"/>
      <c r="J265" s="24"/>
      <c r="K265" s="24"/>
      <c r="L265" s="174"/>
    </row>
    <row r="266" spans="2:12" ht="12.75">
      <c r="B266" s="24"/>
      <c r="C266" s="24"/>
      <c r="D266" s="24"/>
      <c r="E266" s="24"/>
      <c r="F266" s="24"/>
      <c r="G266" s="24"/>
      <c r="H266" s="24"/>
      <c r="I266" s="24"/>
      <c r="J266" s="24"/>
      <c r="K266" s="24"/>
      <c r="L266" s="174"/>
    </row>
    <row r="267" spans="2:12" ht="12.75">
      <c r="B267" s="24"/>
      <c r="C267" s="24"/>
      <c r="D267" s="24"/>
      <c r="E267" s="24"/>
      <c r="F267" s="24"/>
      <c r="G267" s="24"/>
      <c r="H267" s="24"/>
      <c r="I267" s="24"/>
      <c r="J267" s="24"/>
      <c r="K267" s="24"/>
      <c r="L267" s="174"/>
    </row>
    <row r="268" spans="2:12" ht="12.75">
      <c r="B268" s="24"/>
      <c r="C268" s="24"/>
      <c r="D268" s="24"/>
      <c r="E268" s="24"/>
      <c r="F268" s="24"/>
      <c r="G268" s="24"/>
      <c r="H268" s="24"/>
      <c r="I268" s="24"/>
      <c r="J268" s="24"/>
      <c r="K268" s="24"/>
      <c r="L268" s="174"/>
    </row>
    <row r="269" spans="2:12" ht="12.75">
      <c r="B269" s="24"/>
      <c r="C269" s="24"/>
      <c r="D269" s="24"/>
      <c r="E269" s="24"/>
      <c r="F269" s="24"/>
      <c r="G269" s="24"/>
      <c r="H269" s="24"/>
      <c r="I269" s="24"/>
      <c r="J269" s="24"/>
      <c r="K269" s="24"/>
      <c r="L269" s="174"/>
    </row>
    <row r="270" spans="2:12" ht="12.75">
      <c r="B270" s="24"/>
      <c r="C270" s="24"/>
      <c r="D270" s="24"/>
      <c r="E270" s="24"/>
      <c r="F270" s="24"/>
      <c r="G270" s="24"/>
      <c r="H270" s="24"/>
      <c r="I270" s="24"/>
      <c r="J270" s="24"/>
      <c r="K270" s="24"/>
      <c r="L270" s="174"/>
    </row>
    <row r="271" spans="2:12" ht="12.75">
      <c r="B271" s="24"/>
      <c r="C271" s="24"/>
      <c r="D271" s="24"/>
      <c r="E271" s="24"/>
      <c r="F271" s="24"/>
      <c r="G271" s="24"/>
      <c r="H271" s="24"/>
      <c r="I271" s="24"/>
      <c r="J271" s="24"/>
      <c r="K271" s="24"/>
      <c r="L271" s="174"/>
    </row>
    <row r="272" spans="2:12" ht="12.75">
      <c r="B272" s="24"/>
      <c r="C272" s="24"/>
      <c r="D272" s="24"/>
      <c r="E272" s="24"/>
      <c r="F272" s="24"/>
      <c r="G272" s="24"/>
      <c r="H272" s="24"/>
      <c r="I272" s="24"/>
      <c r="J272" s="24"/>
      <c r="K272" s="24"/>
      <c r="L272" s="174"/>
    </row>
    <row r="273" spans="2:12" ht="12.75">
      <c r="B273" s="24"/>
      <c r="C273" s="24"/>
      <c r="D273" s="24"/>
      <c r="E273" s="24"/>
      <c r="F273" s="24"/>
      <c r="G273" s="24"/>
      <c r="H273" s="24"/>
      <c r="I273" s="24"/>
      <c r="J273" s="24"/>
      <c r="K273" s="24"/>
      <c r="L273" s="174"/>
    </row>
    <row r="274" spans="2:12" ht="12.75">
      <c r="B274" s="24"/>
      <c r="C274" s="24"/>
      <c r="D274" s="24"/>
      <c r="E274" s="24"/>
      <c r="F274" s="24"/>
      <c r="G274" s="24"/>
      <c r="H274" s="24"/>
      <c r="I274" s="24"/>
      <c r="J274" s="24"/>
      <c r="K274" s="24"/>
      <c r="L274" s="174"/>
    </row>
    <row r="275" spans="2:12" ht="12.75">
      <c r="B275" s="24"/>
      <c r="C275" s="24"/>
      <c r="D275" s="24"/>
      <c r="E275" s="24"/>
      <c r="F275" s="24"/>
      <c r="G275" s="24"/>
      <c r="H275" s="24"/>
      <c r="I275" s="24"/>
      <c r="J275" s="24"/>
      <c r="K275" s="24"/>
      <c r="L275" s="174"/>
    </row>
    <row r="276" spans="2:12" ht="12.75">
      <c r="B276" s="24"/>
      <c r="C276" s="24"/>
      <c r="D276" s="24"/>
      <c r="E276" s="24"/>
      <c r="F276" s="24"/>
      <c r="G276" s="24"/>
      <c r="H276" s="24"/>
      <c r="I276" s="24"/>
      <c r="J276" s="24"/>
      <c r="K276" s="24"/>
      <c r="L276" s="174"/>
    </row>
    <row r="277" spans="2:12" ht="12.75">
      <c r="B277" s="24"/>
      <c r="C277" s="24"/>
      <c r="D277" s="24"/>
      <c r="E277" s="24"/>
      <c r="F277" s="24"/>
      <c r="G277" s="24"/>
      <c r="H277" s="24"/>
      <c r="I277" s="24"/>
      <c r="J277" s="24"/>
      <c r="K277" s="24"/>
      <c r="L277" s="174"/>
    </row>
    <row r="278" spans="2:12" ht="12.75">
      <c r="B278" s="24"/>
      <c r="C278" s="24"/>
      <c r="D278" s="24"/>
      <c r="E278" s="24"/>
      <c r="F278" s="24"/>
      <c r="G278" s="24"/>
      <c r="H278" s="24"/>
      <c r="I278" s="24"/>
      <c r="J278" s="24"/>
      <c r="K278" s="24"/>
      <c r="L278" s="174"/>
    </row>
    <row r="279" spans="2:12" ht="12.75">
      <c r="B279" s="24"/>
      <c r="C279" s="24"/>
      <c r="D279" s="24"/>
      <c r="E279" s="24"/>
      <c r="F279" s="24"/>
      <c r="G279" s="24"/>
      <c r="H279" s="24"/>
      <c r="I279" s="24"/>
      <c r="J279" s="24"/>
      <c r="K279" s="24"/>
      <c r="L279" s="174"/>
    </row>
    <row r="280" spans="2:12" ht="12.75">
      <c r="B280" s="24"/>
      <c r="C280" s="24"/>
      <c r="D280" s="24"/>
      <c r="E280" s="24"/>
      <c r="F280" s="24"/>
      <c r="G280" s="24"/>
      <c r="H280" s="24"/>
      <c r="I280" s="24"/>
      <c r="J280" s="24"/>
      <c r="K280" s="24"/>
      <c r="L280" s="174"/>
    </row>
    <row r="281" spans="2:12" ht="12.75">
      <c r="B281" s="24"/>
      <c r="C281" s="24"/>
      <c r="D281" s="24"/>
      <c r="E281" s="24"/>
      <c r="F281" s="24"/>
      <c r="G281" s="24"/>
      <c r="H281" s="24"/>
      <c r="I281" s="24"/>
      <c r="J281" s="24"/>
      <c r="K281" s="24"/>
      <c r="L281" s="174"/>
    </row>
    <row r="282" spans="2:12" ht="12.75">
      <c r="B282" s="24"/>
      <c r="C282" s="24"/>
      <c r="D282" s="24"/>
      <c r="E282" s="24"/>
      <c r="F282" s="24"/>
      <c r="G282" s="24"/>
      <c r="H282" s="24"/>
      <c r="I282" s="24"/>
      <c r="J282" s="24"/>
      <c r="K282" s="24"/>
      <c r="L282" s="174"/>
    </row>
    <row r="283" spans="2:12" ht="12.75">
      <c r="B283" s="24"/>
      <c r="C283" s="24"/>
      <c r="D283" s="24"/>
      <c r="E283" s="24"/>
      <c r="F283" s="24"/>
      <c r="G283" s="24"/>
      <c r="H283" s="24"/>
      <c r="I283" s="24"/>
      <c r="J283" s="24"/>
      <c r="K283" s="24"/>
      <c r="L283" s="174"/>
    </row>
    <row r="284" spans="2:12" ht="12.75">
      <c r="B284" s="24"/>
      <c r="C284" s="24"/>
      <c r="D284" s="24"/>
      <c r="E284" s="24"/>
      <c r="F284" s="24"/>
      <c r="G284" s="24"/>
      <c r="H284" s="24"/>
      <c r="I284" s="24"/>
      <c r="J284" s="24"/>
      <c r="K284" s="24"/>
      <c r="L284" s="174"/>
    </row>
    <row r="285" spans="2:12" ht="12.75">
      <c r="B285" s="24"/>
      <c r="C285" s="24"/>
      <c r="D285" s="24"/>
      <c r="E285" s="24"/>
      <c r="F285" s="24"/>
      <c r="G285" s="24"/>
      <c r="H285" s="24"/>
      <c r="I285" s="24"/>
      <c r="J285" s="24"/>
      <c r="K285" s="24"/>
      <c r="L285" s="174"/>
    </row>
    <row r="286" spans="2:12" ht="12.75">
      <c r="B286" s="24"/>
      <c r="C286" s="24"/>
      <c r="D286" s="24"/>
      <c r="E286" s="24"/>
      <c r="F286" s="24"/>
      <c r="G286" s="24"/>
      <c r="H286" s="24"/>
      <c r="I286" s="24"/>
      <c r="J286" s="24"/>
      <c r="K286" s="24"/>
      <c r="L286" s="174"/>
    </row>
    <row r="287" spans="2:12" ht="12.75">
      <c r="B287" s="24"/>
      <c r="C287" s="24"/>
      <c r="D287" s="24"/>
      <c r="E287" s="24"/>
      <c r="F287" s="24"/>
      <c r="G287" s="24"/>
      <c r="H287" s="24"/>
      <c r="I287" s="24"/>
      <c r="J287" s="24"/>
      <c r="K287" s="24"/>
      <c r="L287" s="174"/>
    </row>
    <row r="288" spans="2:12" ht="12.75">
      <c r="B288" s="24"/>
      <c r="C288" s="24"/>
      <c r="D288" s="24"/>
      <c r="E288" s="24"/>
      <c r="F288" s="24"/>
      <c r="G288" s="24"/>
      <c r="H288" s="24"/>
      <c r="I288" s="24"/>
      <c r="J288" s="24"/>
      <c r="K288" s="24"/>
      <c r="L288" s="174"/>
    </row>
    <row r="289" spans="2:12" ht="12.75">
      <c r="B289" s="24"/>
      <c r="C289" s="24"/>
      <c r="D289" s="24"/>
      <c r="E289" s="24"/>
      <c r="F289" s="24"/>
      <c r="G289" s="24"/>
      <c r="H289" s="24"/>
      <c r="I289" s="24"/>
      <c r="J289" s="24"/>
      <c r="K289" s="24"/>
      <c r="L289" s="174"/>
    </row>
    <row r="290" spans="2:12" ht="12.75">
      <c r="B290" s="24"/>
      <c r="C290" s="24"/>
      <c r="D290" s="24"/>
      <c r="E290" s="24"/>
      <c r="F290" s="24"/>
      <c r="G290" s="24"/>
      <c r="H290" s="24"/>
      <c r="I290" s="24"/>
      <c r="J290" s="24"/>
      <c r="K290" s="24"/>
      <c r="L290" s="174"/>
    </row>
    <row r="291" spans="2:12" ht="12.75">
      <c r="B291" s="24"/>
      <c r="C291" s="24"/>
      <c r="D291" s="24"/>
      <c r="E291" s="24"/>
      <c r="F291" s="24"/>
      <c r="G291" s="24"/>
      <c r="H291" s="24"/>
      <c r="I291" s="24"/>
      <c r="J291" s="24"/>
      <c r="K291" s="24"/>
      <c r="L291" s="174"/>
    </row>
    <row r="292" spans="2:12" ht="12.75">
      <c r="B292" s="24"/>
      <c r="C292" s="24"/>
      <c r="D292" s="24"/>
      <c r="E292" s="24"/>
      <c r="F292" s="24"/>
      <c r="G292" s="24"/>
      <c r="H292" s="24"/>
      <c r="I292" s="24"/>
      <c r="J292" s="24"/>
      <c r="K292" s="24"/>
      <c r="L292" s="174"/>
    </row>
    <row r="293" spans="2:12" ht="12.75">
      <c r="B293" s="24"/>
      <c r="C293" s="24"/>
      <c r="D293" s="24"/>
      <c r="E293" s="24"/>
      <c r="F293" s="24"/>
      <c r="G293" s="24"/>
      <c r="H293" s="24"/>
      <c r="I293" s="24"/>
      <c r="J293" s="24"/>
      <c r="K293" s="24"/>
      <c r="L293" s="174"/>
    </row>
    <row r="294" spans="2:12" ht="12.75">
      <c r="B294" s="24"/>
      <c r="C294" s="24"/>
      <c r="D294" s="24"/>
      <c r="E294" s="24"/>
      <c r="F294" s="24"/>
      <c r="G294" s="24"/>
      <c r="H294" s="24"/>
      <c r="I294" s="24"/>
      <c r="J294" s="24"/>
      <c r="K294" s="24"/>
      <c r="L294" s="174"/>
    </row>
    <row r="295" spans="2:12" ht="12.75">
      <c r="B295" s="24"/>
      <c r="C295" s="24"/>
      <c r="D295" s="24"/>
      <c r="E295" s="24"/>
      <c r="F295" s="24"/>
      <c r="G295" s="24"/>
      <c r="H295" s="24"/>
      <c r="I295" s="24"/>
      <c r="J295" s="24"/>
      <c r="K295" s="24"/>
      <c r="L295" s="174"/>
    </row>
    <row r="296" spans="2:12" ht="12.75">
      <c r="B296" s="24"/>
      <c r="C296" s="24"/>
      <c r="D296" s="24"/>
      <c r="E296" s="24"/>
      <c r="F296" s="24"/>
      <c r="G296" s="24"/>
      <c r="H296" s="24"/>
      <c r="I296" s="24"/>
      <c r="J296" s="24"/>
      <c r="K296" s="24"/>
      <c r="L296" s="174"/>
    </row>
    <row r="297" spans="2:12" ht="12.75">
      <c r="B297" s="24"/>
      <c r="C297" s="24"/>
      <c r="D297" s="24"/>
      <c r="E297" s="24"/>
      <c r="F297" s="24"/>
      <c r="G297" s="24"/>
      <c r="H297" s="24"/>
      <c r="I297" s="24"/>
      <c r="J297" s="24"/>
      <c r="K297" s="24"/>
      <c r="L297" s="174"/>
    </row>
    <row r="298" spans="2:12" ht="12.75">
      <c r="B298" s="24"/>
      <c r="C298" s="24"/>
      <c r="D298" s="24"/>
      <c r="E298" s="24"/>
      <c r="F298" s="24"/>
      <c r="G298" s="24"/>
      <c r="H298" s="24"/>
      <c r="I298" s="24"/>
      <c r="J298" s="24"/>
      <c r="K298" s="24"/>
      <c r="L298" s="174"/>
    </row>
    <row r="299" spans="2:12" ht="12.75">
      <c r="B299" s="24"/>
      <c r="C299" s="24"/>
      <c r="D299" s="24"/>
      <c r="E299" s="24"/>
      <c r="F299" s="24"/>
      <c r="G299" s="24"/>
      <c r="H299" s="24"/>
      <c r="I299" s="24"/>
      <c r="J299" s="24"/>
      <c r="K299" s="24"/>
      <c r="L299" s="174"/>
    </row>
    <row r="300" spans="2:12" ht="12.75">
      <c r="B300" s="24"/>
      <c r="C300" s="24"/>
      <c r="D300" s="24"/>
      <c r="E300" s="24"/>
      <c r="F300" s="24"/>
      <c r="G300" s="24"/>
      <c r="H300" s="24"/>
      <c r="I300" s="24"/>
      <c r="J300" s="24"/>
      <c r="K300" s="24"/>
      <c r="L300" s="174"/>
    </row>
    <row r="301" spans="2:12" ht="12.75">
      <c r="B301" s="24"/>
      <c r="C301" s="24"/>
      <c r="D301" s="24"/>
      <c r="E301" s="24"/>
      <c r="F301" s="24"/>
      <c r="G301" s="24"/>
      <c r="H301" s="24"/>
      <c r="I301" s="24"/>
      <c r="J301" s="24"/>
      <c r="K301" s="24"/>
      <c r="L301" s="174"/>
    </row>
    <row r="302" spans="2:12" ht="12.75">
      <c r="B302" s="24"/>
      <c r="C302" s="24"/>
      <c r="D302" s="24"/>
      <c r="E302" s="24"/>
      <c r="F302" s="24"/>
      <c r="G302" s="24"/>
      <c r="H302" s="24"/>
      <c r="I302" s="24"/>
      <c r="J302" s="24"/>
      <c r="K302" s="24"/>
      <c r="L302" s="174"/>
    </row>
    <row r="303" spans="2:12" ht="12.75">
      <c r="B303" s="24"/>
      <c r="C303" s="24"/>
      <c r="D303" s="24"/>
      <c r="E303" s="24"/>
      <c r="F303" s="24"/>
      <c r="G303" s="24"/>
      <c r="H303" s="24"/>
      <c r="I303" s="24"/>
      <c r="J303" s="24"/>
      <c r="K303" s="24"/>
      <c r="L303" s="174"/>
    </row>
    <row r="304" spans="2:12" ht="12.75">
      <c r="B304" s="24"/>
      <c r="C304" s="24"/>
      <c r="D304" s="24"/>
      <c r="E304" s="24"/>
      <c r="F304" s="24"/>
      <c r="G304" s="24"/>
      <c r="H304" s="24"/>
      <c r="I304" s="24"/>
      <c r="J304" s="24"/>
      <c r="K304" s="24"/>
      <c r="L304" s="174"/>
    </row>
    <row r="305" spans="2:12" ht="12.75">
      <c r="B305" s="24"/>
      <c r="C305" s="24"/>
      <c r="D305" s="24"/>
      <c r="E305" s="24"/>
      <c r="F305" s="24"/>
      <c r="G305" s="24"/>
      <c r="H305" s="24"/>
      <c r="I305" s="24"/>
      <c r="J305" s="24"/>
      <c r="K305" s="24"/>
      <c r="L305" s="174"/>
    </row>
    <row r="306" spans="2:12" ht="12.75">
      <c r="B306" s="24"/>
      <c r="C306" s="24"/>
      <c r="D306" s="24"/>
      <c r="E306" s="24"/>
      <c r="F306" s="24"/>
      <c r="G306" s="24"/>
      <c r="H306" s="24"/>
      <c r="I306" s="24"/>
      <c r="J306" s="24"/>
      <c r="K306" s="24"/>
      <c r="L306" s="174"/>
    </row>
    <row r="307" spans="2:12" ht="12.75">
      <c r="B307" s="24"/>
      <c r="C307" s="24"/>
      <c r="D307" s="24"/>
      <c r="E307" s="24"/>
      <c r="F307" s="24"/>
      <c r="G307" s="24"/>
      <c r="H307" s="24"/>
      <c r="I307" s="24"/>
      <c r="J307" s="24"/>
      <c r="K307" s="24"/>
      <c r="L307" s="174"/>
    </row>
    <row r="308" spans="2:12" ht="12.75">
      <c r="B308" s="24"/>
      <c r="C308" s="24"/>
      <c r="D308" s="24"/>
      <c r="E308" s="24"/>
      <c r="F308" s="24"/>
      <c r="G308" s="24"/>
      <c r="H308" s="24"/>
      <c r="I308" s="24"/>
      <c r="J308" s="24"/>
      <c r="K308" s="24"/>
      <c r="L308" s="174"/>
    </row>
    <row r="309" spans="2:12" ht="12.75">
      <c r="B309" s="24"/>
      <c r="C309" s="24"/>
      <c r="D309" s="24"/>
      <c r="E309" s="24"/>
      <c r="F309" s="24"/>
      <c r="G309" s="24"/>
      <c r="H309" s="24"/>
      <c r="I309" s="24"/>
      <c r="J309" s="24"/>
      <c r="K309" s="24"/>
      <c r="L309" s="174"/>
    </row>
    <row r="310" spans="2:12" ht="12.75">
      <c r="B310" s="24"/>
      <c r="C310" s="24"/>
      <c r="D310" s="24"/>
      <c r="E310" s="24"/>
      <c r="F310" s="24"/>
      <c r="G310" s="24"/>
      <c r="H310" s="24"/>
      <c r="I310" s="24"/>
      <c r="J310" s="24"/>
      <c r="K310" s="24"/>
      <c r="L310" s="174"/>
    </row>
    <row r="311" spans="2:12" ht="12.75">
      <c r="B311" s="24"/>
      <c r="C311" s="24"/>
      <c r="D311" s="24"/>
      <c r="E311" s="24"/>
      <c r="F311" s="24"/>
      <c r="G311" s="24"/>
      <c r="H311" s="24"/>
      <c r="I311" s="24"/>
      <c r="J311" s="24"/>
      <c r="K311" s="24"/>
      <c r="L311" s="174"/>
    </row>
    <row r="312" spans="2:12" ht="12.75">
      <c r="B312" s="24"/>
      <c r="C312" s="24"/>
      <c r="D312" s="24"/>
      <c r="E312" s="24"/>
      <c r="F312" s="24"/>
      <c r="G312" s="24"/>
      <c r="H312" s="24"/>
      <c r="I312" s="24"/>
      <c r="J312" s="24"/>
      <c r="K312" s="24"/>
      <c r="L312" s="174"/>
    </row>
    <row r="313" spans="2:12" ht="12.75">
      <c r="B313" s="24"/>
      <c r="C313" s="24"/>
      <c r="D313" s="24"/>
      <c r="E313" s="24"/>
      <c r="F313" s="24"/>
      <c r="G313" s="24"/>
      <c r="H313" s="24"/>
      <c r="I313" s="24"/>
      <c r="J313" s="24"/>
      <c r="K313" s="24"/>
      <c r="L313" s="174"/>
    </row>
    <row r="314" spans="2:12" ht="12.75">
      <c r="B314" s="24"/>
      <c r="C314" s="24"/>
      <c r="D314" s="24"/>
      <c r="E314" s="24"/>
      <c r="F314" s="24"/>
      <c r="G314" s="24"/>
      <c r="H314" s="24"/>
      <c r="I314" s="24"/>
      <c r="J314" s="24"/>
      <c r="K314" s="24"/>
      <c r="L314" s="174"/>
    </row>
    <row r="315" spans="2:12" ht="12.75">
      <c r="B315" s="24"/>
      <c r="C315" s="24"/>
      <c r="D315" s="24"/>
      <c r="E315" s="24"/>
      <c r="F315" s="24"/>
      <c r="G315" s="24"/>
      <c r="H315" s="24"/>
      <c r="I315" s="24"/>
      <c r="J315" s="24"/>
      <c r="K315" s="24"/>
      <c r="L315" s="174"/>
    </row>
    <row r="316" spans="2:12" ht="12.75">
      <c r="B316" s="24"/>
      <c r="C316" s="24"/>
      <c r="D316" s="24"/>
      <c r="E316" s="24"/>
      <c r="F316" s="24"/>
      <c r="G316" s="24"/>
      <c r="H316" s="24"/>
      <c r="I316" s="24"/>
      <c r="J316" s="24"/>
      <c r="K316" s="24"/>
      <c r="L316" s="174"/>
    </row>
    <row r="317" spans="2:12" ht="12.75">
      <c r="B317" s="24"/>
      <c r="C317" s="24"/>
      <c r="D317" s="24"/>
      <c r="E317" s="24"/>
      <c r="F317" s="24"/>
      <c r="G317" s="24"/>
      <c r="H317" s="24"/>
      <c r="I317" s="24"/>
      <c r="J317" s="24"/>
      <c r="K317" s="24"/>
      <c r="L317" s="174"/>
    </row>
    <row r="318" spans="2:12" ht="12.75">
      <c r="B318" s="24"/>
      <c r="C318" s="24"/>
      <c r="D318" s="24"/>
      <c r="E318" s="24"/>
      <c r="F318" s="24"/>
      <c r="G318" s="24"/>
      <c r="H318" s="24"/>
      <c r="I318" s="24"/>
      <c r="J318" s="24"/>
      <c r="K318" s="24"/>
      <c r="L318" s="174"/>
    </row>
    <row r="319" spans="2:12" ht="12.75">
      <c r="B319" s="24"/>
      <c r="C319" s="24"/>
      <c r="D319" s="24"/>
      <c r="E319" s="24"/>
      <c r="F319" s="24"/>
      <c r="G319" s="24"/>
      <c r="H319" s="24"/>
      <c r="I319" s="24"/>
      <c r="J319" s="24"/>
      <c r="K319" s="24"/>
      <c r="L319" s="174"/>
    </row>
    <row r="320" spans="2:12" ht="12.75">
      <c r="B320" s="24"/>
      <c r="C320" s="24"/>
      <c r="D320" s="24"/>
      <c r="E320" s="24"/>
      <c r="F320" s="24"/>
      <c r="G320" s="24"/>
      <c r="H320" s="24"/>
      <c r="I320" s="24"/>
      <c r="J320" s="24"/>
      <c r="K320" s="24"/>
      <c r="L320" s="174"/>
    </row>
    <row r="321" spans="2:12" ht="12.75">
      <c r="B321" s="24"/>
      <c r="C321" s="24"/>
      <c r="D321" s="24"/>
      <c r="E321" s="24"/>
      <c r="F321" s="24"/>
      <c r="G321" s="24"/>
      <c r="H321" s="24"/>
      <c r="I321" s="24"/>
      <c r="J321" s="24"/>
      <c r="K321" s="24"/>
      <c r="L321" s="174"/>
    </row>
    <row r="322" spans="2:12" ht="12.75">
      <c r="B322" s="24"/>
      <c r="C322" s="24"/>
      <c r="D322" s="24"/>
      <c r="E322" s="24"/>
      <c r="F322" s="24"/>
      <c r="G322" s="24"/>
      <c r="H322" s="24"/>
      <c r="I322" s="24"/>
      <c r="J322" s="24"/>
      <c r="K322" s="24"/>
      <c r="L322" s="174"/>
    </row>
    <row r="323" spans="2:12" ht="12.75">
      <c r="B323" s="24"/>
      <c r="C323" s="24"/>
      <c r="D323" s="24"/>
      <c r="E323" s="24"/>
      <c r="F323" s="24"/>
      <c r="G323" s="24"/>
      <c r="H323" s="24"/>
      <c r="I323" s="24"/>
      <c r="J323" s="24"/>
      <c r="K323" s="24"/>
      <c r="L323" s="174"/>
    </row>
    <row r="324" spans="2:12" ht="12.75">
      <c r="B324" s="24"/>
      <c r="C324" s="24"/>
      <c r="D324" s="24"/>
      <c r="E324" s="24"/>
      <c r="F324" s="24"/>
      <c r="G324" s="24"/>
      <c r="H324" s="24"/>
      <c r="I324" s="24"/>
      <c r="J324" s="24"/>
      <c r="K324" s="24"/>
      <c r="L324" s="174"/>
    </row>
    <row r="325" spans="2:12" ht="12.75">
      <c r="B325" s="24"/>
      <c r="C325" s="24"/>
      <c r="D325" s="24"/>
      <c r="E325" s="24"/>
      <c r="F325" s="24"/>
      <c r="G325" s="24"/>
      <c r="H325" s="24"/>
      <c r="I325" s="24"/>
      <c r="J325" s="24"/>
      <c r="K325" s="24"/>
      <c r="L325" s="174"/>
    </row>
    <row r="326" spans="2:12" ht="12.75">
      <c r="B326" s="24"/>
      <c r="C326" s="24"/>
      <c r="D326" s="24"/>
      <c r="E326" s="24"/>
      <c r="F326" s="24"/>
      <c r="G326" s="24"/>
      <c r="H326" s="24"/>
      <c r="I326" s="24"/>
      <c r="J326" s="24"/>
      <c r="K326" s="24"/>
      <c r="L326" s="174"/>
    </row>
    <row r="327" spans="2:12" ht="12.75">
      <c r="B327" s="24"/>
      <c r="C327" s="24"/>
      <c r="D327" s="24"/>
      <c r="E327" s="24"/>
      <c r="F327" s="24"/>
      <c r="G327" s="24"/>
      <c r="H327" s="24"/>
      <c r="I327" s="24"/>
      <c r="J327" s="24"/>
      <c r="K327" s="24"/>
      <c r="L327" s="174"/>
    </row>
    <row r="328" spans="2:12" ht="12.75">
      <c r="B328" s="24"/>
      <c r="C328" s="24"/>
      <c r="D328" s="24"/>
      <c r="E328" s="24"/>
      <c r="F328" s="24"/>
      <c r="G328" s="24"/>
      <c r="H328" s="24"/>
      <c r="I328" s="24"/>
      <c r="J328" s="24"/>
      <c r="K328" s="24"/>
      <c r="L328" s="174"/>
    </row>
    <row r="329" spans="2:12" ht="12.75">
      <c r="B329" s="24"/>
      <c r="C329" s="24"/>
      <c r="D329" s="24"/>
      <c r="E329" s="24"/>
      <c r="F329" s="24"/>
      <c r="G329" s="24"/>
      <c r="H329" s="24"/>
      <c r="I329" s="24"/>
      <c r="J329" s="24"/>
      <c r="K329" s="24"/>
      <c r="L329" s="174"/>
    </row>
    <row r="330" spans="2:12" ht="12.75">
      <c r="B330" s="24"/>
      <c r="C330" s="24"/>
      <c r="D330" s="24"/>
      <c r="E330" s="24"/>
      <c r="F330" s="24"/>
      <c r="G330" s="24"/>
      <c r="H330" s="24"/>
      <c r="I330" s="24"/>
      <c r="J330" s="24"/>
      <c r="K330" s="24"/>
      <c r="L330" s="174"/>
    </row>
    <row r="331" spans="2:12" ht="12.75">
      <c r="B331" s="24"/>
      <c r="C331" s="24"/>
      <c r="D331" s="24"/>
      <c r="E331" s="24"/>
      <c r="F331" s="24"/>
      <c r="G331" s="24"/>
      <c r="H331" s="24"/>
      <c r="I331" s="24"/>
      <c r="J331" s="24"/>
      <c r="K331" s="24"/>
      <c r="L331" s="174"/>
    </row>
    <row r="332" spans="2:12" ht="12.75">
      <c r="B332" s="24"/>
      <c r="C332" s="24"/>
      <c r="D332" s="24"/>
      <c r="E332" s="24"/>
      <c r="F332" s="24"/>
      <c r="G332" s="24"/>
      <c r="H332" s="24"/>
      <c r="I332" s="24"/>
      <c r="J332" s="24"/>
      <c r="K332" s="24"/>
      <c r="L332" s="174"/>
    </row>
    <row r="333" spans="2:12" ht="12.75">
      <c r="B333" s="24"/>
      <c r="C333" s="24"/>
      <c r="D333" s="24"/>
      <c r="E333" s="24"/>
      <c r="F333" s="24"/>
      <c r="G333" s="24"/>
      <c r="H333" s="24"/>
      <c r="I333" s="24"/>
      <c r="J333" s="24"/>
      <c r="K333" s="24"/>
      <c r="L333" s="174"/>
    </row>
    <row r="334" spans="2:12" ht="12.75">
      <c r="B334" s="24"/>
      <c r="C334" s="24"/>
      <c r="D334" s="24"/>
      <c r="E334" s="24"/>
      <c r="F334" s="24"/>
      <c r="G334" s="24"/>
      <c r="H334" s="24"/>
      <c r="I334" s="24"/>
      <c r="J334" s="24"/>
      <c r="K334" s="24"/>
      <c r="L334" s="174"/>
    </row>
    <row r="335" spans="2:12" ht="12.75">
      <c r="B335" s="24"/>
      <c r="C335" s="24"/>
      <c r="D335" s="24"/>
      <c r="E335" s="24"/>
      <c r="F335" s="24"/>
      <c r="G335" s="24"/>
      <c r="H335" s="24"/>
      <c r="I335" s="24"/>
      <c r="J335" s="24"/>
      <c r="K335" s="24"/>
      <c r="L335" s="174"/>
    </row>
    <row r="336" spans="2:12" ht="12.75">
      <c r="B336" s="24"/>
      <c r="C336" s="24"/>
      <c r="D336" s="24"/>
      <c r="E336" s="24"/>
      <c r="F336" s="24"/>
      <c r="G336" s="24"/>
      <c r="H336" s="24"/>
      <c r="I336" s="24"/>
      <c r="J336" s="24"/>
      <c r="K336" s="24"/>
      <c r="L336" s="174"/>
    </row>
    <row r="337" spans="2:12" ht="12.75">
      <c r="B337" s="24"/>
      <c r="C337" s="24"/>
      <c r="D337" s="24"/>
      <c r="E337" s="24"/>
      <c r="F337" s="24"/>
      <c r="G337" s="24"/>
      <c r="H337" s="24"/>
      <c r="I337" s="24"/>
      <c r="J337" s="24"/>
      <c r="K337" s="24"/>
      <c r="L337" s="174"/>
    </row>
    <row r="338" spans="2:12" ht="12.75">
      <c r="B338" s="24"/>
      <c r="C338" s="24"/>
      <c r="D338" s="24"/>
      <c r="E338" s="24"/>
      <c r="F338" s="24"/>
      <c r="G338" s="24"/>
      <c r="H338" s="24"/>
      <c r="I338" s="24"/>
      <c r="J338" s="24"/>
      <c r="K338" s="24"/>
      <c r="L338" s="174"/>
    </row>
    <row r="339" spans="2:12" ht="12.75">
      <c r="B339" s="24"/>
      <c r="C339" s="24"/>
      <c r="D339" s="24"/>
      <c r="E339" s="24"/>
      <c r="F339" s="24"/>
      <c r="G339" s="24"/>
      <c r="H339" s="24"/>
      <c r="I339" s="24"/>
      <c r="J339" s="24"/>
      <c r="K339" s="24"/>
      <c r="L339" s="174"/>
    </row>
    <row r="340" spans="2:12" ht="12.75">
      <c r="B340" s="24"/>
      <c r="C340" s="24"/>
      <c r="D340" s="24"/>
      <c r="E340" s="24"/>
      <c r="F340" s="24"/>
      <c r="G340" s="24"/>
      <c r="H340" s="24"/>
      <c r="I340" s="24"/>
      <c r="J340" s="24"/>
      <c r="K340" s="24"/>
      <c r="L340" s="174"/>
    </row>
    <row r="341" spans="2:12" ht="12.75">
      <c r="B341" s="24"/>
      <c r="C341" s="24"/>
      <c r="D341" s="24"/>
      <c r="E341" s="24"/>
      <c r="F341" s="24"/>
      <c r="G341" s="24"/>
      <c r="H341" s="24"/>
      <c r="I341" s="24"/>
      <c r="J341" s="24"/>
      <c r="K341" s="24"/>
      <c r="L341" s="174"/>
    </row>
    <row r="342" spans="2:12" ht="12.75">
      <c r="B342" s="24"/>
      <c r="C342" s="24"/>
      <c r="D342" s="24"/>
      <c r="E342" s="24"/>
      <c r="F342" s="24"/>
      <c r="G342" s="24"/>
      <c r="H342" s="24"/>
      <c r="I342" s="24"/>
      <c r="J342" s="24"/>
      <c r="K342" s="24"/>
      <c r="L342" s="174"/>
    </row>
    <row r="343" spans="2:12" ht="12.75">
      <c r="B343" s="24"/>
      <c r="C343" s="24"/>
      <c r="D343" s="24"/>
      <c r="E343" s="24"/>
      <c r="F343" s="24"/>
      <c r="G343" s="24"/>
      <c r="H343" s="24"/>
      <c r="I343" s="24"/>
      <c r="J343" s="24"/>
      <c r="K343" s="24"/>
      <c r="L343" s="174"/>
    </row>
    <row r="344" spans="2:12" ht="12.75">
      <c r="B344" s="24"/>
      <c r="C344" s="24"/>
      <c r="D344" s="24"/>
      <c r="E344" s="24"/>
      <c r="F344" s="24"/>
      <c r="G344" s="24"/>
      <c r="H344" s="24"/>
      <c r="I344" s="24"/>
      <c r="J344" s="24"/>
      <c r="K344" s="24"/>
      <c r="L344" s="174"/>
    </row>
    <row r="345" spans="2:12" ht="12.75">
      <c r="B345" s="24"/>
      <c r="C345" s="24"/>
      <c r="D345" s="24"/>
      <c r="E345" s="24"/>
      <c r="F345" s="24"/>
      <c r="G345" s="24"/>
      <c r="H345" s="24"/>
      <c r="I345" s="24"/>
      <c r="J345" s="24"/>
      <c r="K345" s="24"/>
      <c r="L345" s="174"/>
    </row>
    <row r="346" spans="2:12" ht="12.75">
      <c r="B346" s="24"/>
      <c r="C346" s="24"/>
      <c r="D346" s="24"/>
      <c r="E346" s="24"/>
      <c r="F346" s="24"/>
      <c r="G346" s="24"/>
      <c r="H346" s="24"/>
      <c r="I346" s="24"/>
      <c r="J346" s="24"/>
      <c r="K346" s="24"/>
      <c r="L346" s="174"/>
    </row>
    <row r="347" spans="2:12" ht="12.75">
      <c r="B347" s="24"/>
      <c r="C347" s="24"/>
      <c r="D347" s="24"/>
      <c r="E347" s="24"/>
      <c r="F347" s="24"/>
      <c r="G347" s="24"/>
      <c r="H347" s="24"/>
      <c r="I347" s="24"/>
      <c r="J347" s="24"/>
      <c r="K347" s="24"/>
      <c r="L347" s="174"/>
    </row>
    <row r="348" spans="2:12" ht="12.75">
      <c r="B348" s="24"/>
      <c r="C348" s="24"/>
      <c r="D348" s="24"/>
      <c r="E348" s="24"/>
      <c r="F348" s="24"/>
      <c r="G348" s="24"/>
      <c r="H348" s="24"/>
      <c r="I348" s="24"/>
      <c r="J348" s="24"/>
      <c r="K348" s="24"/>
      <c r="L348" s="174"/>
    </row>
    <row r="349" spans="2:12" ht="12.75">
      <c r="B349" s="24"/>
      <c r="C349" s="24"/>
      <c r="D349" s="24"/>
      <c r="E349" s="24"/>
      <c r="F349" s="24"/>
      <c r="G349" s="24"/>
      <c r="H349" s="24"/>
      <c r="I349" s="24"/>
      <c r="J349" s="24"/>
      <c r="K349" s="24"/>
      <c r="L349" s="174"/>
    </row>
    <row r="350" spans="2:12" ht="12.75">
      <c r="B350" s="24"/>
      <c r="C350" s="24"/>
      <c r="D350" s="24"/>
      <c r="E350" s="24"/>
      <c r="F350" s="24"/>
      <c r="G350" s="24"/>
      <c r="H350" s="24"/>
      <c r="I350" s="24"/>
      <c r="J350" s="24"/>
      <c r="K350" s="24"/>
      <c r="L350" s="174"/>
    </row>
    <row r="351" spans="2:12" ht="12.75">
      <c r="B351" s="24"/>
      <c r="C351" s="24"/>
      <c r="D351" s="24"/>
      <c r="E351" s="24"/>
      <c r="F351" s="24"/>
      <c r="G351" s="24"/>
      <c r="H351" s="24"/>
      <c r="I351" s="24"/>
      <c r="J351" s="24"/>
      <c r="K351" s="24"/>
      <c r="L351" s="174"/>
    </row>
    <row r="352" spans="2:12" ht="12.75">
      <c r="B352" s="24"/>
      <c r="C352" s="24"/>
      <c r="D352" s="24"/>
      <c r="E352" s="24"/>
      <c r="F352" s="24"/>
      <c r="G352" s="24"/>
      <c r="H352" s="24"/>
      <c r="I352" s="24"/>
      <c r="J352" s="24"/>
      <c r="K352" s="24"/>
      <c r="L352" s="174"/>
    </row>
    <row r="353" spans="2:12" ht="12.75">
      <c r="B353" s="24"/>
      <c r="C353" s="24"/>
      <c r="D353" s="24"/>
      <c r="E353" s="24"/>
      <c r="F353" s="24"/>
      <c r="G353" s="24"/>
      <c r="H353" s="24"/>
      <c r="I353" s="24"/>
      <c r="J353" s="24"/>
      <c r="K353" s="24"/>
      <c r="L353" s="174"/>
    </row>
    <row r="354" spans="2:12" ht="12.75">
      <c r="B354" s="24"/>
      <c r="C354" s="24"/>
      <c r="D354" s="24"/>
      <c r="E354" s="24"/>
      <c r="F354" s="24"/>
      <c r="G354" s="24"/>
      <c r="H354" s="24"/>
      <c r="I354" s="24"/>
      <c r="J354" s="24"/>
      <c r="K354" s="24"/>
      <c r="L354" s="174"/>
    </row>
    <row r="355" spans="2:12" ht="12.75">
      <c r="B355" s="24"/>
      <c r="C355" s="24"/>
      <c r="D355" s="24"/>
      <c r="E355" s="24"/>
      <c r="F355" s="24"/>
      <c r="G355" s="24"/>
      <c r="H355" s="24"/>
      <c r="I355" s="24"/>
      <c r="J355" s="24"/>
      <c r="K355" s="24"/>
      <c r="L355" s="174"/>
    </row>
    <row r="356" spans="2:12" ht="12.75">
      <c r="B356" s="24"/>
      <c r="C356" s="24"/>
      <c r="D356" s="24"/>
      <c r="E356" s="24"/>
      <c r="F356" s="24"/>
      <c r="G356" s="24"/>
      <c r="H356" s="24"/>
      <c r="I356" s="24"/>
      <c r="J356" s="24"/>
      <c r="K356" s="24"/>
      <c r="L356" s="174"/>
    </row>
    <row r="357" spans="2:12" ht="12.75">
      <c r="B357" s="24"/>
      <c r="C357" s="24"/>
      <c r="D357" s="24"/>
      <c r="E357" s="24"/>
      <c r="F357" s="24"/>
      <c r="G357" s="24"/>
      <c r="H357" s="24"/>
      <c r="I357" s="24"/>
      <c r="J357" s="24"/>
      <c r="K357" s="24"/>
      <c r="L357" s="174"/>
    </row>
    <row r="358" spans="2:12" ht="12.75">
      <c r="B358" s="24"/>
      <c r="C358" s="24"/>
      <c r="D358" s="24"/>
      <c r="E358" s="24"/>
      <c r="F358" s="24"/>
      <c r="G358" s="24"/>
      <c r="H358" s="24"/>
      <c r="I358" s="24"/>
      <c r="J358" s="24"/>
      <c r="K358" s="24"/>
      <c r="L358" s="174"/>
    </row>
    <row r="359" spans="2:12" ht="12.75">
      <c r="B359" s="24"/>
      <c r="C359" s="24"/>
      <c r="D359" s="24"/>
      <c r="E359" s="24"/>
      <c r="F359" s="24"/>
      <c r="G359" s="24"/>
      <c r="H359" s="24"/>
      <c r="I359" s="24"/>
      <c r="J359" s="24"/>
      <c r="K359" s="24"/>
      <c r="L359" s="174"/>
    </row>
    <row r="360" spans="2:12" ht="12.75">
      <c r="B360" s="24"/>
      <c r="C360" s="24"/>
      <c r="D360" s="24"/>
      <c r="E360" s="24"/>
      <c r="F360" s="24"/>
      <c r="G360" s="24"/>
      <c r="H360" s="24"/>
      <c r="I360" s="24"/>
      <c r="J360" s="24"/>
      <c r="K360" s="24"/>
      <c r="L360" s="174"/>
    </row>
    <row r="361" spans="2:12" ht="12.75">
      <c r="B361" s="24"/>
      <c r="C361" s="24"/>
      <c r="D361" s="24"/>
      <c r="E361" s="24"/>
      <c r="F361" s="24"/>
      <c r="G361" s="24"/>
      <c r="H361" s="24"/>
      <c r="I361" s="24"/>
      <c r="J361" s="24"/>
      <c r="K361" s="24"/>
      <c r="L361" s="174"/>
    </row>
    <row r="362" spans="2:12" ht="12.75">
      <c r="B362" s="24"/>
      <c r="C362" s="24"/>
      <c r="D362" s="24"/>
      <c r="E362" s="24"/>
      <c r="F362" s="24"/>
      <c r="G362" s="24"/>
      <c r="H362" s="24"/>
      <c r="I362" s="24"/>
      <c r="J362" s="24"/>
      <c r="K362" s="24"/>
      <c r="L362" s="174"/>
    </row>
    <row r="363" spans="2:12" ht="12.75">
      <c r="B363" s="24"/>
      <c r="C363" s="24"/>
      <c r="D363" s="24"/>
      <c r="E363" s="24"/>
      <c r="F363" s="24"/>
      <c r="G363" s="24"/>
      <c r="H363" s="24"/>
      <c r="I363" s="24"/>
      <c r="J363" s="24"/>
      <c r="K363" s="24"/>
      <c r="L363" s="174"/>
    </row>
    <row r="364" spans="2:12" ht="12.75">
      <c r="B364" s="24"/>
      <c r="C364" s="24"/>
      <c r="D364" s="24"/>
      <c r="E364" s="24"/>
      <c r="F364" s="24"/>
      <c r="G364" s="24"/>
      <c r="H364" s="24"/>
      <c r="I364" s="24"/>
      <c r="J364" s="24"/>
      <c r="K364" s="24"/>
      <c r="L364" s="174"/>
    </row>
    <row r="365" spans="2:12" ht="12.75">
      <c r="B365" s="24"/>
      <c r="C365" s="24"/>
      <c r="D365" s="24"/>
      <c r="E365" s="24"/>
      <c r="F365" s="24"/>
      <c r="G365" s="24"/>
      <c r="H365" s="24"/>
      <c r="I365" s="24"/>
      <c r="J365" s="24"/>
      <c r="K365" s="24"/>
      <c r="L365" s="174"/>
    </row>
    <row r="366" spans="2:12" ht="12.75">
      <c r="B366" s="24"/>
      <c r="C366" s="24"/>
      <c r="D366" s="24"/>
      <c r="E366" s="24"/>
      <c r="F366" s="24"/>
      <c r="G366" s="24"/>
      <c r="H366" s="24"/>
      <c r="I366" s="24"/>
      <c r="J366" s="24"/>
      <c r="K366" s="24"/>
      <c r="L366" s="174"/>
    </row>
    <row r="367" spans="2:12" ht="12.75">
      <c r="B367" s="24"/>
      <c r="C367" s="24"/>
      <c r="D367" s="24"/>
      <c r="E367" s="24"/>
      <c r="F367" s="24"/>
      <c r="G367" s="24"/>
      <c r="H367" s="24"/>
      <c r="I367" s="24"/>
      <c r="J367" s="24"/>
      <c r="K367" s="24"/>
      <c r="L367" s="174"/>
    </row>
    <row r="368" spans="2:12" ht="12.75">
      <c r="B368" s="24"/>
      <c r="C368" s="24"/>
      <c r="D368" s="24"/>
      <c r="E368" s="24"/>
      <c r="F368" s="24"/>
      <c r="G368" s="24"/>
      <c r="H368" s="24"/>
      <c r="I368" s="24"/>
      <c r="J368" s="24"/>
      <c r="K368" s="24"/>
      <c r="L368" s="174"/>
    </row>
    <row r="369" spans="2:12" ht="12.75">
      <c r="B369" s="24"/>
      <c r="C369" s="24"/>
      <c r="D369" s="24"/>
      <c r="E369" s="24"/>
      <c r="F369" s="24"/>
      <c r="G369" s="24"/>
      <c r="H369" s="24"/>
      <c r="I369" s="24"/>
      <c r="J369" s="24"/>
      <c r="K369" s="24"/>
      <c r="L369" s="174"/>
    </row>
    <row r="370" spans="2:12" ht="12.75">
      <c r="B370" s="24"/>
      <c r="C370" s="24"/>
      <c r="D370" s="24"/>
      <c r="E370" s="24"/>
      <c r="F370" s="24"/>
      <c r="G370" s="24"/>
      <c r="H370" s="24"/>
      <c r="I370" s="24"/>
      <c r="J370" s="24"/>
      <c r="K370" s="24"/>
      <c r="L370" s="174"/>
    </row>
    <row r="371" spans="2:12" ht="12.75">
      <c r="B371" s="24"/>
      <c r="C371" s="24"/>
      <c r="D371" s="24"/>
      <c r="E371" s="24"/>
      <c r="F371" s="24"/>
      <c r="G371" s="24"/>
      <c r="H371" s="24"/>
      <c r="I371" s="24"/>
      <c r="J371" s="24"/>
      <c r="K371" s="24"/>
      <c r="L371" s="174"/>
    </row>
    <row r="372" spans="2:12" ht="12.75">
      <c r="B372" s="24"/>
      <c r="C372" s="24"/>
      <c r="D372" s="24"/>
      <c r="E372" s="24"/>
      <c r="F372" s="24"/>
      <c r="G372" s="24"/>
      <c r="H372" s="24"/>
      <c r="I372" s="24"/>
      <c r="J372" s="24"/>
      <c r="K372" s="24"/>
      <c r="L372" s="174"/>
    </row>
    <row r="373" spans="2:12" ht="12.75">
      <c r="B373" s="24"/>
      <c r="C373" s="24"/>
      <c r="D373" s="24"/>
      <c r="E373" s="24"/>
      <c r="F373" s="24"/>
      <c r="G373" s="24"/>
      <c r="H373" s="24"/>
      <c r="I373" s="24"/>
      <c r="J373" s="24"/>
      <c r="K373" s="24"/>
      <c r="L373" s="174"/>
    </row>
    <row r="374" spans="2:12" ht="12.75">
      <c r="B374" s="24"/>
      <c r="C374" s="24"/>
      <c r="D374" s="24"/>
      <c r="E374" s="24"/>
      <c r="F374" s="24"/>
      <c r="G374" s="24"/>
      <c r="H374" s="24"/>
      <c r="I374" s="24"/>
      <c r="J374" s="24"/>
      <c r="K374" s="24"/>
      <c r="L374" s="174"/>
    </row>
    <row r="375" spans="2:12" ht="12.75">
      <c r="B375" s="24"/>
      <c r="C375" s="24"/>
      <c r="D375" s="24"/>
      <c r="E375" s="24"/>
      <c r="F375" s="24"/>
      <c r="G375" s="24"/>
      <c r="H375" s="24"/>
      <c r="I375" s="24"/>
      <c r="J375" s="24"/>
      <c r="K375" s="24"/>
      <c r="L375" s="174"/>
    </row>
    <row r="376" spans="2:12" ht="12.75">
      <c r="B376" s="24"/>
      <c r="C376" s="24"/>
      <c r="D376" s="24"/>
      <c r="E376" s="24"/>
      <c r="F376" s="24"/>
      <c r="G376" s="24"/>
      <c r="H376" s="24"/>
      <c r="I376" s="24"/>
      <c r="J376" s="24"/>
      <c r="K376" s="24"/>
      <c r="L376" s="174"/>
    </row>
  </sheetData>
  <sheetProtection password="A388" sheet="1" objects="1" scenarios="1" selectLockedCells="1" selectUnlockedCells="1"/>
  <protectedRanges>
    <protectedRange sqref="C14 D13:D15 E13 G5:I15 C5:F12 E14:F15 L12" name="Bereich1"/>
  </protectedRanges>
  <mergeCells count="67">
    <mergeCell ref="I33:J33"/>
    <mergeCell ref="D28:E29"/>
    <mergeCell ref="D37:E37"/>
    <mergeCell ref="G15:I15"/>
    <mergeCell ref="D21:E21"/>
    <mergeCell ref="F9:I9"/>
    <mergeCell ref="G11:I11"/>
    <mergeCell ref="D36:E36"/>
    <mergeCell ref="I36:J36"/>
    <mergeCell ref="I37:J37"/>
    <mergeCell ref="D25:E25"/>
    <mergeCell ref="D33:E33"/>
    <mergeCell ref="I34:J34"/>
    <mergeCell ref="D34:E34"/>
    <mergeCell ref="I35:J35"/>
    <mergeCell ref="B2:J2"/>
    <mergeCell ref="G5:I5"/>
    <mergeCell ref="G6:I6"/>
    <mergeCell ref="G8:I8"/>
    <mergeCell ref="D6:E6"/>
    <mergeCell ref="D8:E8"/>
    <mergeCell ref="D5:E5"/>
    <mergeCell ref="B3:J3"/>
    <mergeCell ref="E13:I14"/>
    <mergeCell ref="D38:E39"/>
    <mergeCell ref="I26:J26"/>
    <mergeCell ref="D22:E22"/>
    <mergeCell ref="D35:E35"/>
    <mergeCell ref="I28:J29"/>
    <mergeCell ref="D31:E31"/>
    <mergeCell ref="I31:J31"/>
    <mergeCell ref="D32:E32"/>
    <mergeCell ref="I32:J32"/>
    <mergeCell ref="D23:E23"/>
    <mergeCell ref="D24:E24"/>
    <mergeCell ref="G41:G42"/>
    <mergeCell ref="D40:E40"/>
    <mergeCell ref="B38:B39"/>
    <mergeCell ref="D41:E42"/>
    <mergeCell ref="D26:E26"/>
    <mergeCell ref="I41:J42"/>
    <mergeCell ref="I38:J39"/>
    <mergeCell ref="I40:J40"/>
    <mergeCell ref="B54:J63"/>
    <mergeCell ref="B13:B14"/>
    <mergeCell ref="D45:E45"/>
    <mergeCell ref="I45:J45"/>
    <mergeCell ref="D43:E43"/>
    <mergeCell ref="I43:J43"/>
    <mergeCell ref="D44:E44"/>
    <mergeCell ref="I52:J52"/>
    <mergeCell ref="I44:J44"/>
    <mergeCell ref="F19:H19"/>
    <mergeCell ref="I25:J25"/>
    <mergeCell ref="I23:J23"/>
    <mergeCell ref="I24:J24"/>
    <mergeCell ref="I21:J21"/>
    <mergeCell ref="I22:J22"/>
    <mergeCell ref="G46:G47"/>
    <mergeCell ref="I46:J47"/>
    <mergeCell ref="D50:E51"/>
    <mergeCell ref="G50:G51"/>
    <mergeCell ref="I50:J51"/>
    <mergeCell ref="D46:E47"/>
    <mergeCell ref="D48:E49"/>
    <mergeCell ref="G48:G49"/>
    <mergeCell ref="I48:J49"/>
  </mergeCells>
  <dataValidations count="2">
    <dataValidation type="list" allowBlank="1" showInputMessage="1" showErrorMessage="1" sqref="M9">
      <formula1>$M$5:$M$8</formula1>
    </dataValidation>
    <dataValidation allowBlank="1" showInputMessage="1" showErrorMessage="1" errorTitle="No" sqref="M12 J9 J12"/>
  </dataValidations>
  <hyperlinks>
    <hyperlink ref="I52" r:id="rId1" display="www.Architekt-A.de"/>
  </hyperlinks>
  <printOptions/>
  <pageMargins left="0.2362204724409449" right="0.2362204724409449" top="0.2362204724409449" bottom="0.4330708661417323" header="0" footer="0"/>
  <pageSetup horizontalDpi="600" verticalDpi="600" orientation="portrait" paperSize="9" scale="95" r:id="rId2"/>
  <headerFooter alignWithMargins="0">
    <oddFooter>&amp;C&amp;9Architekt Ambrosius . Am Gretchenweg 6 . 24404 Maasholm . Tel.: 04246 / 969220 . info@Architekt-A.de . www.Archtekt-A.de
&amp;R&amp;9Kostenvergleich . &amp;A . &amp;D</oddFooter>
  </headerFooter>
  <colBreaks count="1" manualBreakCount="1">
    <brk id="12" max="139" man="1"/>
  </colBreaks>
</worksheet>
</file>

<file path=xl/worksheets/sheet4.xml><?xml version="1.0" encoding="utf-8"?>
<worksheet xmlns="http://schemas.openxmlformats.org/spreadsheetml/2006/main" xmlns:r="http://schemas.openxmlformats.org/officeDocument/2006/relationships">
  <dimension ref="B2:AF93"/>
  <sheetViews>
    <sheetView showGridLines="0" showRowColHeaders="0" zoomScalePageLayoutView="85" workbookViewId="0" topLeftCell="A1">
      <selection activeCell="F10" sqref="F10"/>
    </sheetView>
  </sheetViews>
  <sheetFormatPr defaultColWidth="11.421875" defaultRowHeight="12.75"/>
  <cols>
    <col min="1" max="1" width="3.57421875" style="0" customWidth="1"/>
    <col min="2" max="2" width="1.28515625" style="0" customWidth="1"/>
    <col min="6" max="7" width="12.8515625" style="0" customWidth="1"/>
    <col min="9" max="9" width="11.8515625" style="0" bestFit="1" customWidth="1"/>
    <col min="11" max="11" width="1.421875" style="0" customWidth="1"/>
    <col min="12" max="12" width="3.57421875" style="0" customWidth="1"/>
    <col min="13" max="16" width="11.421875" style="0" hidden="1" customWidth="1"/>
    <col min="17" max="17" width="3.57421875" style="0" customWidth="1"/>
    <col min="18" max="18" width="1.421875" style="0" customWidth="1"/>
    <col min="22" max="23" width="12.8515625" style="0" customWidth="1"/>
    <col min="25" max="25" width="11.8515625" style="0" bestFit="1" customWidth="1"/>
    <col min="27" max="27" width="1.421875" style="0" customWidth="1"/>
    <col min="28" max="28" width="3.7109375" style="0" customWidth="1"/>
    <col min="29" max="32" width="11.421875" style="0" hidden="1" customWidth="1"/>
  </cols>
  <sheetData>
    <row r="2" spans="3:26" ht="18">
      <c r="C2" s="595" t="s">
        <v>250</v>
      </c>
      <c r="D2" s="596"/>
      <c r="E2" s="596"/>
      <c r="F2" s="596"/>
      <c r="G2" s="596"/>
      <c r="H2" s="596"/>
      <c r="I2" s="596"/>
      <c r="J2" s="597"/>
      <c r="S2" s="595" t="s">
        <v>251</v>
      </c>
      <c r="T2" s="596"/>
      <c r="U2" s="596"/>
      <c r="V2" s="596"/>
      <c r="W2" s="596"/>
      <c r="X2" s="596"/>
      <c r="Y2" s="596"/>
      <c r="Z2" s="597"/>
    </row>
    <row r="3" ht="5.25" customHeight="1"/>
    <row r="4" spans="3:23" ht="12.75">
      <c r="C4" s="1" t="s">
        <v>177</v>
      </c>
      <c r="G4" s="371">
        <f>W4</f>
        <v>150</v>
      </c>
      <c r="M4">
        <v>50</v>
      </c>
      <c r="N4">
        <f>G4/50</f>
        <v>3</v>
      </c>
      <c r="O4">
        <f>G4/20</f>
        <v>7.5</v>
      </c>
      <c r="S4" s="1" t="s">
        <v>177</v>
      </c>
      <c r="W4" s="371">
        <f>'Eingabe-Ergebnis'!D11</f>
        <v>150</v>
      </c>
    </row>
    <row r="5" spans="3:23" ht="5.25" customHeight="1">
      <c r="C5" s="1"/>
      <c r="G5" s="332"/>
      <c r="M5">
        <v>60</v>
      </c>
      <c r="S5" s="1"/>
      <c r="W5" s="332"/>
    </row>
    <row r="6" spans="3:23" ht="15.75">
      <c r="C6" s="1" t="s">
        <v>178</v>
      </c>
      <c r="F6" s="405">
        <f>IF(F13=Zentralgerät_Standard,(70-M30),IF(F13=Zentralgerät_verbessert,(70-M31),IF(F13=dezentrale_Einzelgeräte,(70-M32),IF(F13=Fensterlüftung_manuell,(70)))))</f>
        <v>70</v>
      </c>
      <c r="G6" s="426">
        <f>G4*F6</f>
        <v>10500</v>
      </c>
      <c r="M6">
        <v>70</v>
      </c>
      <c r="S6" s="1" t="s">
        <v>178</v>
      </c>
      <c r="V6" s="405">
        <f>IF(V13=Zentralgerät_Standard,(15),IF(V13=Zentralgerät_verbessert,(14),IF(V13=dezentrale_Einzelgeräte,(15),IF(V13=Lüftung_freie_Eingabe,IF(ISNUMBER(V33),(15-((V33)-80)/10),(15))))))</f>
        <v>15</v>
      </c>
      <c r="W6" s="425">
        <f>V6*W4</f>
        <v>2250</v>
      </c>
    </row>
    <row r="7" ht="6" customHeight="1" thickBot="1"/>
    <row r="8" spans="3:23" ht="16.5" thickBot="1">
      <c r="C8" s="1" t="s">
        <v>179</v>
      </c>
      <c r="F8" s="591" t="s">
        <v>198</v>
      </c>
      <c r="G8" s="592"/>
      <c r="S8" s="1" t="s">
        <v>179</v>
      </c>
      <c r="V8" s="406" t="str">
        <f>F8</f>
        <v>PHPP 25 Liter (60°C)/Pers/Tag</v>
      </c>
      <c r="W8" s="407"/>
    </row>
    <row r="9" spans="3:22" ht="6" customHeight="1" thickBot="1">
      <c r="C9" s="1"/>
      <c r="S9" s="1"/>
      <c r="V9" s="3"/>
    </row>
    <row r="10" spans="3:26" ht="13.5" thickBot="1">
      <c r="C10" s="1" t="s">
        <v>169</v>
      </c>
      <c r="F10" s="446">
        <v>4</v>
      </c>
      <c r="G10" s="425">
        <f>W10</f>
        <v>1825</v>
      </c>
      <c r="I10" s="593" t="s">
        <v>118</v>
      </c>
      <c r="J10" s="594"/>
      <c r="M10" s="447"/>
      <c r="S10" s="1" t="s">
        <v>169</v>
      </c>
      <c r="V10" s="408">
        <f>F10</f>
        <v>4</v>
      </c>
      <c r="W10" s="426">
        <f>IF(F8=EnEV,(F78),IF(F8=PHPP,(F79)))</f>
        <v>1825</v>
      </c>
      <c r="Y10" s="593" t="s">
        <v>118</v>
      </c>
      <c r="Z10" s="594"/>
    </row>
    <row r="11" spans="9:29" ht="12.75">
      <c r="I11" s="368" t="s">
        <v>210</v>
      </c>
      <c r="J11" s="368" t="s">
        <v>75</v>
      </c>
      <c r="M11" s="353" t="s">
        <v>159</v>
      </c>
      <c r="Y11" s="368" t="s">
        <v>210</v>
      </c>
      <c r="Z11" s="368" t="s">
        <v>75</v>
      </c>
      <c r="AC11" s="353" t="s">
        <v>159</v>
      </c>
    </row>
    <row r="12" spans="9:29" ht="6" customHeight="1" thickBot="1">
      <c r="I12" s="347"/>
      <c r="J12" s="348"/>
      <c r="Y12" s="347"/>
      <c r="Z12" s="348"/>
      <c r="AC12" s="101"/>
    </row>
    <row r="13" spans="3:31" ht="13.5" thickBot="1">
      <c r="C13" s="1" t="s">
        <v>211</v>
      </c>
      <c r="F13" s="605" t="s">
        <v>203</v>
      </c>
      <c r="G13" s="592"/>
      <c r="I13" s="349">
        <f>IF(F13=Zentralgerät_Standard,(I30),IF(F13=Zentralgerät_verbessert,(I31),IF(F13=dezentrale_Einzelgeräte,(I32),IF(F13=Fensterlüftung_manuell,(I33)))))</f>
        <v>0</v>
      </c>
      <c r="J13" s="366">
        <f>IF(F13=Zentralgerät_Standard,(J30),IF(F13=Zentralgerät_verbessert,(J31),IF(F13=dezentrale_Einzelgeräte,(J32),IF(F13=Fensterlüftung_manuell,(J33)))))</f>
        <v>0</v>
      </c>
      <c r="M13" s="369">
        <f>IF(F13=Zentralgerät_Standard,(H30),IF(F13=Zentralgerät_verbessert,(H31),IF(F13=dezentrale_Einzelgeräte,(H32),IF(F13=Fensterlüftung_manuell,(H33)))))</f>
        <v>0</v>
      </c>
      <c r="S13" s="1" t="s">
        <v>211</v>
      </c>
      <c r="V13" s="605" t="s">
        <v>123</v>
      </c>
      <c r="W13" s="592"/>
      <c r="Y13" s="349">
        <f>IF(V13=Zentralgerät_Standard,(Y30),IF(V13=Zentralgerät_verbessert,(Y31),IF(V13=dezentrale_Einzelgeräte,(Y32),IF(V13=Lüftung_freie_Eingabe,(Y33)))))</f>
        <v>8500</v>
      </c>
      <c r="Z13" s="366">
        <f>IF(V13=Zentralgerät_Standard,(Z30),IF(V13=Zentralgerät_verbessert,(Z31),IF(V13=dezentrale_Einzelgeräte,(Z32),IF(V13=Lüftung_freie_Eingabe,(Z33)))))</f>
        <v>69.264</v>
      </c>
      <c r="AC13" s="362">
        <f>IF(V13=Zentralgerät_Standard,(X30),IF(V13=Zentralgerät_verbessert,(X31),IF(V13=dezentrale_Einzelgeräte,(X32),IF(V13=Lüftung_freie_Eingabe,(X33)))))</f>
        <v>35</v>
      </c>
      <c r="AD13">
        <f>CODE(V13)</f>
        <v>90</v>
      </c>
      <c r="AE13">
        <f>IF(AD13=76,IF(ISNUMBER(V33),"","Bitte unten Werte für Lüftung eingeben"),"")</f>
      </c>
    </row>
    <row r="14" spans="3:29" ht="5.25" customHeight="1" thickBot="1">
      <c r="C14" s="1"/>
      <c r="I14" s="350"/>
      <c r="J14" s="366"/>
      <c r="M14" s="369"/>
      <c r="S14" s="1"/>
      <c r="Y14" s="350"/>
      <c r="Z14" s="367"/>
      <c r="AC14" s="362"/>
    </row>
    <row r="15" spans="3:31" ht="13.5" thickBot="1">
      <c r="C15" s="1" t="s">
        <v>125</v>
      </c>
      <c r="F15" s="605" t="s">
        <v>128</v>
      </c>
      <c r="G15" s="592"/>
      <c r="I15" s="349">
        <f>IF(F15=Kleine_Anlage,(I41),IF(F15=Große_Anlage,(I42),IF(F15=freie_Eingabe,(I43))))</f>
        <v>6887.5</v>
      </c>
      <c r="J15" s="366">
        <f>IF(F15=Kleine_Anlage,(J41),IF(F15=Große_Anlage,(J42),IF(F15=freie_Eingabe,(J43))))</f>
        <v>15.677999999999999</v>
      </c>
      <c r="M15" s="369"/>
      <c r="N15">
        <f>CODE(F15)</f>
        <v>75</v>
      </c>
      <c r="O15">
        <f>IF(N15=83,IF(ISNUMBER(E43),"","Es ist keine Solaranlage eingegeben"),"")</f>
      </c>
      <c r="S15" s="1" t="s">
        <v>125</v>
      </c>
      <c r="V15" s="605" t="s">
        <v>128</v>
      </c>
      <c r="W15" s="592"/>
      <c r="Y15" s="349">
        <f>IF(V15=Kleine_Anlage,(Y41),IF(V15=Große_Anlage,(Y42),IF(V15=freie_Eingabe,(Y43))))</f>
        <v>6887.5</v>
      </c>
      <c r="Z15" s="366">
        <f>IF(V15=Kleine_Anlage,(Z41),IF(V15=Große_Anlage,(Z42),IF(V15=freie_Eingabe,(Z43))))</f>
        <v>15.677999999999999</v>
      </c>
      <c r="AC15" s="362"/>
      <c r="AD15">
        <f>CODE(V15)</f>
        <v>75</v>
      </c>
      <c r="AE15">
        <f>IF(AD15=83,IF(ISNUMBER(U43),"","Es ist keine Solaranlage eingegeben"),"")</f>
      </c>
    </row>
    <row r="16" spans="3:29" ht="5.25" customHeight="1" thickBot="1">
      <c r="C16" s="1"/>
      <c r="I16" s="350"/>
      <c r="J16" s="366"/>
      <c r="M16" s="369"/>
      <c r="S16" s="1"/>
      <c r="Y16" s="350"/>
      <c r="Z16" s="367"/>
      <c r="AC16" s="362"/>
    </row>
    <row r="17" spans="3:31" ht="13.5" thickBot="1">
      <c r="C17" s="1" t="s">
        <v>117</v>
      </c>
      <c r="F17" s="605" t="s">
        <v>190</v>
      </c>
      <c r="G17" s="592"/>
      <c r="I17" s="349">
        <f>IF(F17=Wärmepumpe_Sole_Wasser,(I51),IF(F17=Wärmepumpe_Abluft_Wasser,(I52),IF(F17=Pelletkessel,(I53),IF(F17=Brennwerttherme_Heizöl,(I54),IF(F17=Brennwerttherme_Erdgas,(I55),IF(F17=Brennwerttherme_Flüssiggas,(I56),IF(F17=Restwärmeerzeugung_freie_Eingabe,(I57))))))))</f>
        <v>9000</v>
      </c>
      <c r="J17" s="366">
        <f>IF(F17=Wärmepumpe_Sole_Wasser,(J51),IF(F17=Wärmepumpe_Abluft_Wasser,(J52),IF(F17=Pelletkessel,(J53),IF(F17=Brennwerttherme_Heizöl,(J54),IF(F17=Brennwerttherme_Erdgas,(J55),IF(F17=Brennwerttherme_Flüssiggas,(J56),IF(F17=Restwärmeerzeugung_freie_Eingabe,(J57))))))))</f>
        <v>792.3505</v>
      </c>
      <c r="M17" s="369">
        <f>IF(F17=Wärmepumpe_Sole_Wasser,(H51),IF(F17=Wärmepumpe_Abluft_Wasser,(J52),IF(F17=Pelletkessel,(H53),IF(F17=Brennwerttherme_Heizöl,(H54),IF(F17=Brennwerttherme_Erdgas,(H55),IF(F17=Brennwerttherme_Flüssiggas,(H56),IF(F17=Restwärmeerzeugung_freie_Eingabe,(H57))))))))</f>
        <v>100</v>
      </c>
      <c r="N17">
        <f>CODE(P17)</f>
        <v>119</v>
      </c>
      <c r="O17">
        <f>IF(F17=Restwärmeerzeugung_freie_Eingabe,IF(ISNUMBER(G57),"","Bitte Werte für Wärmeerzeugung eingegeben"),"")</f>
      </c>
      <c r="P17" t="str">
        <f>MID(F17,6,3)</f>
        <v>wer</v>
      </c>
      <c r="S17" s="1" t="s">
        <v>117</v>
      </c>
      <c r="V17" s="591" t="s">
        <v>218</v>
      </c>
      <c r="W17" s="592"/>
      <c r="Y17" s="349">
        <f>IF(V17=WP_Sole,(Y51),IF(V17=WP_Luft,(Y52),IF(V17=Pelletofen,(Y53),IF(V17=Scheitholzofen,(Y54),IF(V17=BW_Erdgas,(Y55),IF(V17=BW_Flüssiggas,(Y56),IF(V17=Restwärmeerzeugung,(Y57))))))))</f>
        <v>10500</v>
      </c>
      <c r="Z17" s="366">
        <f>IF(V17=WP_Sole,(Z51),IF(V17=WP_Luft,(Z52),IF(V17=Pelletofen,(Z53),IF(V17=Scheitholzofen,(Z54),IF(V17=BW_Erdgas,(Z55),IF(V17=BW_Flüssiggas,(Z56),IF(V17=Restwärmeerzeugung,(Z57))))))))</f>
        <v>179.25882352941179</v>
      </c>
      <c r="AC17" s="362">
        <f>IF(V17=WP_Sole,(X51),IF(V17=WP_Luft,(X52),IF(V17=Pelletofen,(X53),IF(V17=Scheitholzofen,(X54),IF(V17=BW_Erdgas,(X55),IF(V17=BW_Flüssiggas,(X56),IF(V17=Restwärmeerzeugung,(X57))))))))</f>
        <v>130</v>
      </c>
      <c r="AD17" s="378">
        <f>CODE(V17)</f>
        <v>80</v>
      </c>
      <c r="AE17">
        <f>IF(AD17=82,IF(ISNUMBER(W57),"","Bitte Werte für Wärmeerzeugung eingegeben"),"")</f>
      </c>
    </row>
    <row r="18" spans="3:29" ht="5.25" customHeight="1" thickBot="1">
      <c r="C18" s="1"/>
      <c r="I18" s="350"/>
      <c r="J18" s="366"/>
      <c r="M18" s="369"/>
      <c r="S18" s="1"/>
      <c r="Y18" s="350"/>
      <c r="Z18" s="367"/>
      <c r="AC18" s="362"/>
    </row>
    <row r="19" spans="3:31" ht="13.5" thickBot="1">
      <c r="C19" s="1" t="s">
        <v>119</v>
      </c>
      <c r="F19" s="605" t="s">
        <v>229</v>
      </c>
      <c r="G19" s="592"/>
      <c r="I19" s="349">
        <f>IF(F19=über_Zuluftleitung,(I65),IF(F19=Fußbodenheizung,(I66),IF(F19=Wandflächenheizung,(I67),IF(F19=Heizkörper,(I68),IF(F19=Heizwärmeverteilung_freie_Eingabe,(J69))))))</f>
        <v>6750</v>
      </c>
      <c r="J19" s="366">
        <f>IF(F19=über_Zuluftleitung,(J65),IF(F19=Fußbodenheizung,(J66),IF(F19=Wandflächenheizung,(J67),IF(F19=Heizkörper,(J68),IF(F19=Heizwärmeverteilung_freie_Eingabe,(J69))))))</f>
        <v>74.88</v>
      </c>
      <c r="M19" s="369"/>
      <c r="O19">
        <f>IF(F19=Heizwärmeverteilung_freie_Eingabe,IF(ISNUMBER(F69),"","Bitte Werte für Wärmeverteilung eingegeben"),"")</f>
      </c>
      <c r="S19" s="1" t="s">
        <v>119</v>
      </c>
      <c r="V19" s="591" t="s">
        <v>120</v>
      </c>
      <c r="W19" s="592"/>
      <c r="Y19" s="349">
        <f>IF(V19=über_Zuluftleitung,(Y65),IF(V19=Fußbodenerwärmung,(Y66),IF(V19=Wandflächenerwärmung,(Y67),IF(V19=Heizkörper,(Y68),IF(V19=Heizwärmeverteilung_freie_Eingabe,(Z69))))))</f>
        <v>800</v>
      </c>
      <c r="Z19" s="366">
        <f>IF(V19=über_Zuluftleitung,(Z65),IF(V19=Fußbodenerwärmung,(Z66),IF(V19=Wandflächenerwärmung,(Z67),IF(V19=Heizkörper,(Z68),IF(V19=Heizwärmeverteilung_freie_Eingabe,(Z69))))))</f>
        <v>34.32</v>
      </c>
      <c r="AC19" s="362"/>
      <c r="AD19">
        <f>CODE(V19)</f>
        <v>252</v>
      </c>
      <c r="AE19">
        <f>IF(V19=Heizwärmeverteilung_freie_Eingabe,IF(ISNUMBER(V69),"","Bitte Werte für Wärmeverteilung eingegeben"),"")</f>
      </c>
    </row>
    <row r="20" spans="9:29" ht="5.25" customHeight="1" thickBot="1">
      <c r="I20" s="350"/>
      <c r="J20" s="351"/>
      <c r="M20" s="369"/>
      <c r="Y20" s="350"/>
      <c r="Z20" s="351"/>
      <c r="AC20" s="101"/>
    </row>
    <row r="21" spans="6:29" ht="13.5" thickBot="1">
      <c r="F21" s="377">
        <f>IF(N15=83,(O15),IF(F17=Restwärmeerzeugung_freie_Eingabe,(O17),IF(ISTEXT(O19),(O19),(M23))))</f>
      </c>
      <c r="I21" s="359">
        <f>SUM(I13:I20)</f>
        <v>22637.5</v>
      </c>
      <c r="J21" s="365">
        <f>SUM(J13:J20)</f>
        <v>882.9085</v>
      </c>
      <c r="M21" s="362">
        <f>SUM(M13:M19)</f>
        <v>100</v>
      </c>
      <c r="V21" s="377">
        <f>IF(AC24="ohne Zuluftleitung nicht möglich!",(AC24),IF(AD13=76,(AE13),IF(AD15=83,(AE15),IF(AD17=82,(AE17),IF(AD19=72,(AE19),(AC23))))))</f>
      </c>
      <c r="Y21" s="359">
        <f>SUM(Y13:Y20)</f>
        <v>26687.5</v>
      </c>
      <c r="Z21" s="365">
        <f>SUM(Z13:Z20)</f>
        <v>298.52082352941176</v>
      </c>
      <c r="AC21" s="363">
        <f>SUM(AC13:AC19)</f>
        <v>165</v>
      </c>
    </row>
    <row r="22" ht="6" customHeight="1" thickBot="1"/>
    <row r="23" spans="6:29" ht="13.5" thickBot="1">
      <c r="F23" s="431">
        <f>IF(F19=Heizkörper_mit_Leitungsnetz,IF(N17=112,"Bei Wärmepumpe besser Flächenheizung",""),"")</f>
      </c>
      <c r="I23" s="364" t="s">
        <v>159</v>
      </c>
      <c r="J23" s="365">
        <f>M21</f>
        <v>100</v>
      </c>
      <c r="S23" s="1" t="s">
        <v>221</v>
      </c>
      <c r="T23" s="1"/>
      <c r="U23" s="1"/>
      <c r="W23" s="387">
        <v>0.015</v>
      </c>
      <c r="Y23" s="364" t="s">
        <v>159</v>
      </c>
      <c r="Z23" s="365">
        <f>AC21</f>
        <v>165</v>
      </c>
      <c r="AC23">
        <f>IF(AD19=252,IF(AD17=75,"Bei Wärmepumpe besser Flächenheizung",""),"")</f>
      </c>
    </row>
    <row r="24" spans="13:29" ht="12.75">
      <c r="M24">
        <f>IF(N19=252,IF(N13=100,"ohne Zuluftleitung nicht möglich!",""),"")</f>
      </c>
      <c r="AC24">
        <f>IF(AD19=252,IF(AD13=100,"ohne Zuluftleitung nicht möglich!",""),"")</f>
      </c>
    </row>
    <row r="25" spans="2:27" ht="7.5" customHeight="1">
      <c r="B25" s="292"/>
      <c r="C25" s="293"/>
      <c r="D25" s="293"/>
      <c r="E25" s="293"/>
      <c r="F25" s="293"/>
      <c r="G25" s="293"/>
      <c r="H25" s="293"/>
      <c r="I25" s="293"/>
      <c r="J25" s="293"/>
      <c r="K25" s="294"/>
      <c r="R25" s="292"/>
      <c r="S25" s="293"/>
      <c r="T25" s="293"/>
      <c r="U25" s="293"/>
      <c r="V25" s="293"/>
      <c r="W25" s="293"/>
      <c r="X25" s="293"/>
      <c r="Y25" s="293"/>
      <c r="Z25" s="293"/>
      <c r="AA25" s="294"/>
    </row>
    <row r="26" spans="2:27" ht="12.75">
      <c r="B26" s="105"/>
      <c r="C26" s="307" t="s">
        <v>211</v>
      </c>
      <c r="D26" s="308"/>
      <c r="E26" s="309"/>
      <c r="F26" s="310" t="s">
        <v>155</v>
      </c>
      <c r="G26" s="310" t="s">
        <v>153</v>
      </c>
      <c r="H26" s="600" t="s">
        <v>118</v>
      </c>
      <c r="I26" s="600"/>
      <c r="J26" s="601"/>
      <c r="K26" s="106"/>
      <c r="R26" s="105"/>
      <c r="S26" s="307" t="s">
        <v>211</v>
      </c>
      <c r="T26" s="308"/>
      <c r="U26" s="309"/>
      <c r="V26" s="310" t="s">
        <v>155</v>
      </c>
      <c r="W26" s="310" t="s">
        <v>153</v>
      </c>
      <c r="X26" s="600" t="s">
        <v>118</v>
      </c>
      <c r="Y26" s="600"/>
      <c r="Z26" s="601"/>
      <c r="AA26" s="106"/>
    </row>
    <row r="27" spans="2:29" ht="12.75">
      <c r="B27" s="105"/>
      <c r="C27" s="333" t="s">
        <v>170</v>
      </c>
      <c r="D27" s="311"/>
      <c r="E27" s="312"/>
      <c r="F27" s="313" t="s">
        <v>156</v>
      </c>
      <c r="G27" s="313" t="s">
        <v>154</v>
      </c>
      <c r="H27" s="325" t="s">
        <v>176</v>
      </c>
      <c r="I27" s="325" t="s">
        <v>210</v>
      </c>
      <c r="J27" s="325" t="s">
        <v>160</v>
      </c>
      <c r="K27" s="106"/>
      <c r="M27" s="352" t="s">
        <v>62</v>
      </c>
      <c r="R27" s="105"/>
      <c r="S27" s="333" t="s">
        <v>170</v>
      </c>
      <c r="T27" s="311"/>
      <c r="U27" s="312"/>
      <c r="V27" s="313" t="s">
        <v>156</v>
      </c>
      <c r="W27" s="313" t="s">
        <v>154</v>
      </c>
      <c r="X27" s="325" t="s">
        <v>176</v>
      </c>
      <c r="Y27" s="325" t="s">
        <v>210</v>
      </c>
      <c r="Z27" s="325" t="s">
        <v>160</v>
      </c>
      <c r="AA27" s="106"/>
      <c r="AC27" s="352"/>
    </row>
    <row r="28" spans="2:29" ht="12.75">
      <c r="B28" s="105"/>
      <c r="C28" s="334" t="s">
        <v>237</v>
      </c>
      <c r="D28" s="315"/>
      <c r="E28" s="316"/>
      <c r="F28" s="326" t="s">
        <v>193</v>
      </c>
      <c r="G28" s="326" t="s">
        <v>194</v>
      </c>
      <c r="H28" s="326" t="s">
        <v>165</v>
      </c>
      <c r="I28" s="326" t="s">
        <v>166</v>
      </c>
      <c r="J28" s="326" t="s">
        <v>165</v>
      </c>
      <c r="K28" s="106"/>
      <c r="M28" s="352" t="s">
        <v>238</v>
      </c>
      <c r="R28" s="105"/>
      <c r="S28" s="334" t="s">
        <v>237</v>
      </c>
      <c r="T28" s="315"/>
      <c r="U28" s="316"/>
      <c r="V28" s="326" t="s">
        <v>193</v>
      </c>
      <c r="W28" s="326" t="s">
        <v>194</v>
      </c>
      <c r="X28" s="326" t="s">
        <v>165</v>
      </c>
      <c r="Y28" s="326" t="s">
        <v>166</v>
      </c>
      <c r="Z28" s="326" t="s">
        <v>165</v>
      </c>
      <c r="AA28" s="106"/>
      <c r="AC28" s="352"/>
    </row>
    <row r="29" spans="2:27" ht="6" customHeight="1">
      <c r="B29" s="105"/>
      <c r="C29" s="3"/>
      <c r="D29" s="3"/>
      <c r="E29" s="3"/>
      <c r="F29" s="295"/>
      <c r="G29" s="295"/>
      <c r="H29" s="295"/>
      <c r="I29" s="295"/>
      <c r="J29" s="295"/>
      <c r="K29" s="106"/>
      <c r="R29" s="105"/>
      <c r="S29" s="3"/>
      <c r="T29" s="3"/>
      <c r="U29" s="3"/>
      <c r="V29" s="295"/>
      <c r="W29" s="295"/>
      <c r="X29" s="295"/>
      <c r="Y29" s="295"/>
      <c r="Z29" s="295"/>
      <c r="AA29" s="106"/>
    </row>
    <row r="30" spans="2:29" ht="12.75">
      <c r="B30" s="105"/>
      <c r="C30" s="296" t="s">
        <v>123</v>
      </c>
      <c r="D30" s="3"/>
      <c r="E30" s="3"/>
      <c r="F30" s="108">
        <v>80</v>
      </c>
      <c r="G30" s="297">
        <v>0.4</v>
      </c>
      <c r="H30" s="297">
        <v>35</v>
      </c>
      <c r="I30" s="297">
        <f>G$4*40+2500</f>
        <v>8500</v>
      </c>
      <c r="J30" s="297">
        <f>G$4*2.5*0.4*185*24*G30/1000*H$90</f>
        <v>69.264</v>
      </c>
      <c r="K30" s="106"/>
      <c r="M30" s="355">
        <v>17.5</v>
      </c>
      <c r="R30" s="105"/>
      <c r="S30" s="296" t="s">
        <v>123</v>
      </c>
      <c r="T30" s="3"/>
      <c r="U30" s="3"/>
      <c r="V30" s="108">
        <v>80</v>
      </c>
      <c r="W30" s="297">
        <v>0.4</v>
      </c>
      <c r="X30" s="297">
        <v>35</v>
      </c>
      <c r="Y30" s="297">
        <f>W$4*40+2500</f>
        <v>8500</v>
      </c>
      <c r="Z30" s="297">
        <f>W$4*2.5*0.4*185*24*W30/1000*H$90</f>
        <v>69.264</v>
      </c>
      <c r="AA30" s="106"/>
      <c r="AC30" s="355"/>
    </row>
    <row r="31" spans="2:29" ht="12.75">
      <c r="B31" s="105"/>
      <c r="C31" s="296" t="s">
        <v>124</v>
      </c>
      <c r="D31" s="3"/>
      <c r="E31" s="3"/>
      <c r="F31" s="108">
        <v>90</v>
      </c>
      <c r="G31" s="297">
        <v>0.3</v>
      </c>
      <c r="H31" s="297">
        <v>35</v>
      </c>
      <c r="I31" s="297">
        <f>G$4*40+3000</f>
        <v>9000</v>
      </c>
      <c r="J31" s="297">
        <f>G$4*2.5*0.4*185*24*G31/1000*H$90</f>
        <v>51.94800000000001</v>
      </c>
      <c r="K31" s="106"/>
      <c r="M31" s="355">
        <v>19</v>
      </c>
      <c r="R31" s="105"/>
      <c r="S31" s="296" t="s">
        <v>124</v>
      </c>
      <c r="T31" s="3"/>
      <c r="U31" s="3"/>
      <c r="V31" s="108">
        <v>90</v>
      </c>
      <c r="W31" s="297">
        <v>0.3</v>
      </c>
      <c r="X31" s="297">
        <v>35</v>
      </c>
      <c r="Y31" s="297">
        <f>W$4*40+3000</f>
        <v>9000</v>
      </c>
      <c r="Z31" s="297">
        <f>W$4*2.5*0.4*185*24*W31/1000*H$90</f>
        <v>51.94800000000001</v>
      </c>
      <c r="AA31" s="106"/>
      <c r="AC31" s="355"/>
    </row>
    <row r="32" spans="2:29" ht="12.75">
      <c r="B32" s="105"/>
      <c r="C32" s="296" t="s">
        <v>157</v>
      </c>
      <c r="D32" s="3"/>
      <c r="E32" s="3"/>
      <c r="F32" s="108">
        <v>80</v>
      </c>
      <c r="G32" s="297">
        <v>0.4</v>
      </c>
      <c r="H32" s="297">
        <f>G4</f>
        <v>150</v>
      </c>
      <c r="I32" s="297">
        <f>G$4/20*1250</f>
        <v>9375</v>
      </c>
      <c r="J32" s="297">
        <f>G$4*2.5*0.4*185*24*G32/1000*H$90</f>
        <v>69.264</v>
      </c>
      <c r="K32" s="106"/>
      <c r="M32" s="355">
        <v>17.5</v>
      </c>
      <c r="R32" s="105"/>
      <c r="S32" s="296" t="s">
        <v>157</v>
      </c>
      <c r="T32" s="3"/>
      <c r="U32" s="3"/>
      <c r="V32" s="108">
        <v>80</v>
      </c>
      <c r="W32" s="297">
        <v>0.4</v>
      </c>
      <c r="X32" s="297">
        <f>W4</f>
        <v>150</v>
      </c>
      <c r="Y32" s="297">
        <f>W$4/20*1250</f>
        <v>9375</v>
      </c>
      <c r="Z32" s="297">
        <f>W$4*2.5*0.4*185*24*W32/1000*H$90</f>
        <v>69.264</v>
      </c>
      <c r="AA32" s="106"/>
      <c r="AC32" s="355"/>
    </row>
    <row r="33" spans="2:27" ht="12.75">
      <c r="B33" s="105"/>
      <c r="C33" s="339" t="s">
        <v>203</v>
      </c>
      <c r="D33" s="3"/>
      <c r="E33" s="3"/>
      <c r="F33" s="108"/>
      <c r="G33" s="297"/>
      <c r="H33" s="297">
        <v>0</v>
      </c>
      <c r="I33" s="297">
        <v>0</v>
      </c>
      <c r="J33" s="297">
        <f>G$4*2.5*0.4*185*24*G33/1000*H$90</f>
        <v>0</v>
      </c>
      <c r="K33" s="106"/>
      <c r="M33" s="355"/>
      <c r="R33" s="105"/>
      <c r="S33" s="301" t="s">
        <v>147</v>
      </c>
      <c r="T33" s="302"/>
      <c r="U33" s="302"/>
      <c r="V33" s="379"/>
      <c r="W33" s="380"/>
      <c r="X33" s="381"/>
      <c r="Y33" s="381"/>
      <c r="Z33" s="335">
        <f>IF(ISNUMBER(W33),W$4*2.5*0.4*185*24*W33/1000*H$90,"")</f>
      </c>
      <c r="AA33" s="106"/>
    </row>
    <row r="34" spans="2:27" ht="7.5" customHeight="1">
      <c r="B34" s="298"/>
      <c r="C34" s="299"/>
      <c r="D34" s="299"/>
      <c r="E34" s="299"/>
      <c r="F34" s="299"/>
      <c r="G34" s="299"/>
      <c r="H34" s="299"/>
      <c r="I34" s="299"/>
      <c r="J34" s="299"/>
      <c r="K34" s="300"/>
      <c r="R34" s="298"/>
      <c r="S34" s="299"/>
      <c r="T34" s="299"/>
      <c r="U34" s="299"/>
      <c r="V34" s="299"/>
      <c r="W34" s="299"/>
      <c r="X34" s="299"/>
      <c r="Y34" s="299"/>
      <c r="Z34" s="299"/>
      <c r="AA34" s="300"/>
    </row>
    <row r="36" spans="2:27" ht="7.5" customHeight="1">
      <c r="B36" s="292"/>
      <c r="C36" s="293"/>
      <c r="D36" s="293"/>
      <c r="E36" s="293"/>
      <c r="F36" s="293"/>
      <c r="G36" s="293"/>
      <c r="H36" s="293"/>
      <c r="I36" s="293"/>
      <c r="J36" s="293"/>
      <c r="K36" s="294"/>
      <c r="R36" s="292"/>
      <c r="S36" s="293"/>
      <c r="T36" s="293"/>
      <c r="U36" s="293"/>
      <c r="V36" s="293"/>
      <c r="W36" s="293"/>
      <c r="X36" s="293"/>
      <c r="Y36" s="293"/>
      <c r="Z36" s="293"/>
      <c r="AA36" s="294"/>
    </row>
    <row r="37" spans="2:27" ht="12.75">
      <c r="B37" s="105"/>
      <c r="C37" s="317" t="s">
        <v>125</v>
      </c>
      <c r="D37" s="308"/>
      <c r="E37" s="325" t="s">
        <v>173</v>
      </c>
      <c r="F37" s="310" t="s">
        <v>143</v>
      </c>
      <c r="G37" s="602" t="s">
        <v>181</v>
      </c>
      <c r="H37" s="603"/>
      <c r="I37" s="604" t="s">
        <v>118</v>
      </c>
      <c r="J37" s="603"/>
      <c r="K37" s="106"/>
      <c r="R37" s="105"/>
      <c r="S37" s="317" t="s">
        <v>125</v>
      </c>
      <c r="T37" s="308"/>
      <c r="U37" s="325" t="s">
        <v>173</v>
      </c>
      <c r="V37" s="310" t="s">
        <v>143</v>
      </c>
      <c r="W37" s="602" t="s">
        <v>181</v>
      </c>
      <c r="X37" s="603"/>
      <c r="Y37" s="604" t="s">
        <v>118</v>
      </c>
      <c r="Z37" s="603"/>
      <c r="AA37" s="106"/>
    </row>
    <row r="38" spans="2:27" ht="12.75">
      <c r="B38" s="105"/>
      <c r="C38" s="333" t="s">
        <v>175</v>
      </c>
      <c r="D38" s="311"/>
      <c r="E38" s="336" t="s">
        <v>174</v>
      </c>
      <c r="F38" s="336" t="s">
        <v>171</v>
      </c>
      <c r="G38" s="310" t="s">
        <v>126</v>
      </c>
      <c r="H38" s="310" t="s">
        <v>127</v>
      </c>
      <c r="I38" s="325" t="s">
        <v>210</v>
      </c>
      <c r="J38" s="325" t="s">
        <v>160</v>
      </c>
      <c r="K38" s="106"/>
      <c r="R38" s="105"/>
      <c r="S38" s="333" t="s">
        <v>175</v>
      </c>
      <c r="T38" s="311"/>
      <c r="U38" s="336" t="s">
        <v>174</v>
      </c>
      <c r="V38" s="336" t="s">
        <v>171</v>
      </c>
      <c r="W38" s="310" t="s">
        <v>126</v>
      </c>
      <c r="X38" s="310" t="s">
        <v>127</v>
      </c>
      <c r="Y38" s="325" t="s">
        <v>210</v>
      </c>
      <c r="Z38" s="325" t="s">
        <v>160</v>
      </c>
      <c r="AA38" s="106"/>
    </row>
    <row r="39" spans="2:32" ht="12.75">
      <c r="B39" s="105"/>
      <c r="C39" s="314"/>
      <c r="D39" s="315"/>
      <c r="E39" s="322" t="s">
        <v>192</v>
      </c>
      <c r="F39" s="326" t="s">
        <v>172</v>
      </c>
      <c r="G39" s="326" t="s">
        <v>193</v>
      </c>
      <c r="H39" s="326" t="s">
        <v>165</v>
      </c>
      <c r="I39" s="326" t="s">
        <v>166</v>
      </c>
      <c r="J39" s="326" t="s">
        <v>165</v>
      </c>
      <c r="K39" s="106"/>
      <c r="M39" s="354" t="s">
        <v>185</v>
      </c>
      <c r="R39" s="105"/>
      <c r="S39" s="314"/>
      <c r="T39" s="315"/>
      <c r="U39" s="322" t="s">
        <v>192</v>
      </c>
      <c r="V39" s="326" t="s">
        <v>172</v>
      </c>
      <c r="W39" s="326" t="s">
        <v>193</v>
      </c>
      <c r="X39" s="326" t="s">
        <v>165</v>
      </c>
      <c r="Y39" s="326" t="s">
        <v>166</v>
      </c>
      <c r="Z39" s="326" t="s">
        <v>165</v>
      </c>
      <c r="AA39" s="106"/>
      <c r="AC39" s="352" t="s">
        <v>183</v>
      </c>
      <c r="AD39" s="352" t="s">
        <v>184</v>
      </c>
      <c r="AE39" s="353" t="s">
        <v>81</v>
      </c>
      <c r="AF39" s="354" t="s">
        <v>185</v>
      </c>
    </row>
    <row r="40" spans="2:32" ht="6" customHeight="1">
      <c r="B40" s="105"/>
      <c r="C40" s="3"/>
      <c r="D40" s="3"/>
      <c r="E40" s="3"/>
      <c r="F40" s="3"/>
      <c r="G40" s="3"/>
      <c r="H40" s="3"/>
      <c r="I40" s="3"/>
      <c r="J40" s="3"/>
      <c r="K40" s="106"/>
      <c r="M40" s="152"/>
      <c r="R40" s="105"/>
      <c r="S40" s="3"/>
      <c r="T40" s="3"/>
      <c r="U40" s="3"/>
      <c r="V40" s="3"/>
      <c r="W40" s="3"/>
      <c r="X40" s="3"/>
      <c r="Y40" s="3"/>
      <c r="Z40" s="3"/>
      <c r="AA40" s="106"/>
      <c r="AE40" s="101"/>
      <c r="AF40" s="152"/>
    </row>
    <row r="41" spans="2:32" ht="12.75">
      <c r="B41" s="105"/>
      <c r="C41" s="339" t="s">
        <v>128</v>
      </c>
      <c r="D41" s="3"/>
      <c r="E41" s="338">
        <f>(G4/20+F10*1.5)/2</f>
        <v>6.75</v>
      </c>
      <c r="F41" s="295">
        <f>20+E41*2</f>
        <v>33.5</v>
      </c>
      <c r="G41" s="108">
        <v>66</v>
      </c>
      <c r="H41" s="108">
        <v>0</v>
      </c>
      <c r="I41" s="297">
        <f>E41*650+2500</f>
        <v>6887.5</v>
      </c>
      <c r="J41" s="297">
        <f>F41*1800/1000*H$90</f>
        <v>15.677999999999999</v>
      </c>
      <c r="K41" s="106"/>
      <c r="M41" s="355">
        <f>G$6+G$10-AE41</f>
        <v>11120.5</v>
      </c>
      <c r="R41" s="105"/>
      <c r="S41" s="339" t="s">
        <v>128</v>
      </c>
      <c r="T41" s="3"/>
      <c r="U41" s="338">
        <f>(W4/20+V10*1.5)/2</f>
        <v>6.75</v>
      </c>
      <c r="V41" s="295">
        <f>20+U41*2</f>
        <v>33.5</v>
      </c>
      <c r="W41" s="108">
        <v>66</v>
      </c>
      <c r="X41" s="108">
        <v>0</v>
      </c>
      <c r="Y41" s="297">
        <f>U41*650+2500</f>
        <v>6887.5</v>
      </c>
      <c r="Z41" s="297">
        <f>V41*1800/1000*H$90</f>
        <v>15.677999999999999</v>
      </c>
      <c r="AA41" s="106"/>
      <c r="AC41" s="355">
        <f>$W$10*W41/100</f>
        <v>1204.5</v>
      </c>
      <c r="AD41" s="355">
        <f>$W$6*X41/100</f>
        <v>0</v>
      </c>
      <c r="AE41" s="355">
        <f>SUM(AC41:AD41)</f>
        <v>1204.5</v>
      </c>
      <c r="AF41" s="355">
        <f>W$6+W$10-AE41</f>
        <v>2870.5</v>
      </c>
    </row>
    <row r="42" spans="2:32" ht="12.75">
      <c r="B42" s="105"/>
      <c r="C42" s="296" t="s">
        <v>129</v>
      </c>
      <c r="D42" s="3"/>
      <c r="E42" s="338">
        <f>(G4/12.5+F10*2.5)/2</f>
        <v>11</v>
      </c>
      <c r="F42" s="295">
        <f>20+E42*2</f>
        <v>42</v>
      </c>
      <c r="G42" s="108">
        <v>75</v>
      </c>
      <c r="H42" s="108">
        <v>10</v>
      </c>
      <c r="I42" s="297">
        <f>E42*650+2500</f>
        <v>9650</v>
      </c>
      <c r="J42" s="297">
        <f>F42*1800/1000*H$90</f>
        <v>19.656</v>
      </c>
      <c r="K42" s="106"/>
      <c r="M42" s="355">
        <f>G$6+G$10-AE42</f>
        <v>10731.25</v>
      </c>
      <c r="R42" s="105"/>
      <c r="S42" s="296" t="s">
        <v>129</v>
      </c>
      <c r="T42" s="3"/>
      <c r="U42" s="338">
        <f>(W4/12.5+V10*2.5)/2</f>
        <v>11</v>
      </c>
      <c r="V42" s="295">
        <f>20+U42*2</f>
        <v>42</v>
      </c>
      <c r="W42" s="108">
        <v>75</v>
      </c>
      <c r="X42" s="108">
        <v>10</v>
      </c>
      <c r="Y42" s="297">
        <f>U42*650+2500</f>
        <v>9650</v>
      </c>
      <c r="Z42" s="297">
        <f>V42*1800/1000*H$90</f>
        <v>19.656</v>
      </c>
      <c r="AA42" s="106"/>
      <c r="AC42" s="355">
        <f>$W$10*W42/100</f>
        <v>1368.75</v>
      </c>
      <c r="AD42" s="355">
        <f>$W$6*X42/100</f>
        <v>225</v>
      </c>
      <c r="AE42" s="355">
        <f>SUM(AC42:AD42)</f>
        <v>1593.75</v>
      </c>
      <c r="AF42" s="355">
        <f>W$6+W$10-AE42</f>
        <v>2481.25</v>
      </c>
    </row>
    <row r="43" spans="2:32" ht="12.75">
      <c r="B43" s="105"/>
      <c r="C43" s="301" t="s">
        <v>148</v>
      </c>
      <c r="D43" s="302"/>
      <c r="E43" s="429"/>
      <c r="F43" s="337">
        <f>IF(ISNUMBER(E43),20+E43*2,"")</f>
      </c>
      <c r="G43" s="379"/>
      <c r="H43" s="379"/>
      <c r="I43" s="381"/>
      <c r="J43" s="356">
        <f>IF(ISNUMBER(E43),F43*1800/1000*H$90,"")</f>
      </c>
      <c r="K43" s="106"/>
      <c r="M43" s="355">
        <f>G$6+G$10-AE43</f>
        <v>12325</v>
      </c>
      <c r="R43" s="105"/>
      <c r="S43" s="301" t="s">
        <v>148</v>
      </c>
      <c r="T43" s="302"/>
      <c r="U43" s="429"/>
      <c r="V43" s="337">
        <f>IF(ISNUMBER(U43),20+U43*2,"")</f>
      </c>
      <c r="W43" s="379"/>
      <c r="X43" s="379"/>
      <c r="Y43" s="381"/>
      <c r="Z43" s="356">
        <f>IF(ISNUMBER(U43),V43*1800/1000*H$90,"")</f>
      </c>
      <c r="AA43" s="106"/>
      <c r="AC43" s="355">
        <f>$W$10*W43/100</f>
        <v>0</v>
      </c>
      <c r="AD43" s="355">
        <f>$W$6*X43/100</f>
        <v>0</v>
      </c>
      <c r="AE43" s="355">
        <f>SUM(AC43:AD43)</f>
        <v>0</v>
      </c>
      <c r="AF43" s="355">
        <f>W$6+W$10-AE43</f>
        <v>4075</v>
      </c>
    </row>
    <row r="44" spans="2:27" ht="7.5" customHeight="1">
      <c r="B44" s="298"/>
      <c r="C44" s="299"/>
      <c r="D44" s="299"/>
      <c r="E44" s="299"/>
      <c r="F44" s="299"/>
      <c r="G44" s="299"/>
      <c r="H44" s="299"/>
      <c r="I44" s="299"/>
      <c r="J44" s="299"/>
      <c r="K44" s="300"/>
      <c r="R44" s="298"/>
      <c r="S44" s="299"/>
      <c r="T44" s="299"/>
      <c r="U44" s="299"/>
      <c r="V44" s="299"/>
      <c r="W44" s="299"/>
      <c r="X44" s="299"/>
      <c r="Y44" s="299"/>
      <c r="Z44" s="299"/>
      <c r="AA44" s="300"/>
    </row>
    <row r="46" spans="2:27" ht="7.5" customHeight="1">
      <c r="B46" s="292"/>
      <c r="C46" s="293"/>
      <c r="D46" s="293"/>
      <c r="E46" s="293"/>
      <c r="F46" s="293"/>
      <c r="G46" s="293"/>
      <c r="H46" s="293"/>
      <c r="I46" s="293"/>
      <c r="J46" s="293"/>
      <c r="K46" s="294"/>
      <c r="R46" s="292"/>
      <c r="S46" s="293"/>
      <c r="T46" s="293"/>
      <c r="U46" s="293"/>
      <c r="V46" s="293"/>
      <c r="W46" s="293"/>
      <c r="X46" s="293"/>
      <c r="Y46" s="293"/>
      <c r="Z46" s="293"/>
      <c r="AA46" s="294"/>
    </row>
    <row r="47" spans="2:27" ht="12.75">
      <c r="B47" s="105"/>
      <c r="C47" s="317" t="s">
        <v>242</v>
      </c>
      <c r="D47" s="308"/>
      <c r="E47" s="308"/>
      <c r="F47" s="321"/>
      <c r="G47" s="325" t="s">
        <v>207</v>
      </c>
      <c r="H47" s="600" t="s">
        <v>118</v>
      </c>
      <c r="I47" s="600"/>
      <c r="J47" s="601"/>
      <c r="K47" s="106"/>
      <c r="R47" s="105"/>
      <c r="S47" s="317" t="s">
        <v>117</v>
      </c>
      <c r="T47" s="308"/>
      <c r="U47" s="308"/>
      <c r="V47" s="321"/>
      <c r="W47" s="325" t="s">
        <v>207</v>
      </c>
      <c r="X47" s="600" t="s">
        <v>118</v>
      </c>
      <c r="Y47" s="600"/>
      <c r="Z47" s="601"/>
      <c r="AA47" s="106"/>
    </row>
    <row r="48" spans="2:27" ht="12.75">
      <c r="B48" s="105"/>
      <c r="C48" s="318"/>
      <c r="D48" s="311"/>
      <c r="E48" s="311"/>
      <c r="F48" s="313" t="s">
        <v>135</v>
      </c>
      <c r="G48" s="336" t="s">
        <v>206</v>
      </c>
      <c r="H48" s="325" t="s">
        <v>182</v>
      </c>
      <c r="I48" s="325" t="s">
        <v>210</v>
      </c>
      <c r="J48" s="325" t="s">
        <v>135</v>
      </c>
      <c r="K48" s="106"/>
      <c r="R48" s="105"/>
      <c r="S48" s="318"/>
      <c r="T48" s="311"/>
      <c r="U48" s="311"/>
      <c r="V48" s="313" t="s">
        <v>135</v>
      </c>
      <c r="W48" s="336" t="s">
        <v>206</v>
      </c>
      <c r="X48" s="325" t="s">
        <v>182</v>
      </c>
      <c r="Y48" s="325" t="s">
        <v>210</v>
      </c>
      <c r="Z48" s="325" t="s">
        <v>135</v>
      </c>
      <c r="AA48" s="106"/>
    </row>
    <row r="49" spans="2:27" ht="12.75">
      <c r="B49" s="105"/>
      <c r="C49" s="314"/>
      <c r="D49" s="315"/>
      <c r="E49" s="315"/>
      <c r="F49" s="322"/>
      <c r="G49" s="326" t="s">
        <v>193</v>
      </c>
      <c r="H49" s="326" t="s">
        <v>165</v>
      </c>
      <c r="I49" s="326" t="s">
        <v>166</v>
      </c>
      <c r="J49" s="326" t="s">
        <v>165</v>
      </c>
      <c r="K49" s="106"/>
      <c r="R49" s="105"/>
      <c r="S49" s="314"/>
      <c r="T49" s="315"/>
      <c r="U49" s="315"/>
      <c r="V49" s="322"/>
      <c r="W49" s="326" t="s">
        <v>193</v>
      </c>
      <c r="X49" s="326" t="s">
        <v>165</v>
      </c>
      <c r="Y49" s="326" t="s">
        <v>166</v>
      </c>
      <c r="Z49" s="326" t="s">
        <v>165</v>
      </c>
      <c r="AA49" s="106"/>
    </row>
    <row r="50" spans="2:27" ht="6" customHeight="1">
      <c r="B50" s="105"/>
      <c r="C50" s="3"/>
      <c r="D50" s="3"/>
      <c r="E50" s="3"/>
      <c r="F50" s="3"/>
      <c r="G50" s="108"/>
      <c r="H50" s="3"/>
      <c r="I50" s="3"/>
      <c r="J50" s="3"/>
      <c r="K50" s="106"/>
      <c r="R50" s="105"/>
      <c r="S50" s="3"/>
      <c r="T50" s="3"/>
      <c r="U50" s="3"/>
      <c r="V50" s="3"/>
      <c r="W50" s="108"/>
      <c r="X50" s="3"/>
      <c r="Y50" s="3"/>
      <c r="Z50" s="3"/>
      <c r="AA50" s="106"/>
    </row>
    <row r="51" spans="2:30" ht="12.75">
      <c r="B51" s="105"/>
      <c r="C51" s="339" t="s">
        <v>201</v>
      </c>
      <c r="D51" s="3"/>
      <c r="E51" s="3"/>
      <c r="F51" s="339" t="s">
        <v>240</v>
      </c>
      <c r="G51" s="108">
        <v>350</v>
      </c>
      <c r="H51" s="108">
        <v>50</v>
      </c>
      <c r="I51" s="108">
        <f>10000+6000+1500+G4*10</f>
        <v>19000</v>
      </c>
      <c r="J51" s="297">
        <f>IF(F15=Kleine_Anlage,(M$41/G51*100*H$91+J$91),IF(F15=Große_Anlage,(M$42/G51*100*H$91+J$91),IF(F15=freie_Eingabe,(M$43/G51*100*H$91+J$91))))</f>
        <v>739.23</v>
      </c>
      <c r="K51" s="106"/>
      <c r="M51" s="401" t="e">
        <f>IF(F15=Kleine_Anlage,(M$41/G57*100*H$90),IF(F15=Große_Anlage,(M$42/G57*100*H$90),IF(F15=freie_Eingabe,(M$43/G57*100*H$90))))</f>
        <v>#DIV/0!</v>
      </c>
      <c r="N51" s="403" t="s">
        <v>226</v>
      </c>
      <c r="R51" s="105"/>
      <c r="S51" s="339" t="s">
        <v>187</v>
      </c>
      <c r="T51" s="3"/>
      <c r="U51" s="3"/>
      <c r="V51" s="339" t="s">
        <v>239</v>
      </c>
      <c r="W51" s="108">
        <v>350</v>
      </c>
      <c r="X51" s="108">
        <v>50</v>
      </c>
      <c r="Y51" s="108">
        <f>5000+4000+1500+W4*10</f>
        <v>12000</v>
      </c>
      <c r="Z51" s="297">
        <f>IF(V15=Kleine_Anlage,(AF$41/W51*100*H$90),IF(V15=Große_Anlage,(AF$42/W51*100*H$90),IF(V15=freie_Eingabe,(AF$43/W51*100*H$90))))</f>
        <v>213.23714285714289</v>
      </c>
      <c r="AA51" s="106"/>
      <c r="AC51" s="401" t="e">
        <f>IF(V15=Kleine_Anlage,(AF$41/W57*100*H$90),IF(V15=Große_Anlage,(AF$42/W57*100*H$90),IF(V15=freie_Eingabe,(AF$43/W57*100*H$90))))</f>
        <v>#DIV/0!</v>
      </c>
      <c r="AD51" s="403" t="s">
        <v>226</v>
      </c>
    </row>
    <row r="52" spans="2:27" ht="12.75">
      <c r="B52" s="105"/>
      <c r="C52" s="339" t="s">
        <v>202</v>
      </c>
      <c r="D52" s="3"/>
      <c r="E52" s="3"/>
      <c r="F52" s="339" t="s">
        <v>240</v>
      </c>
      <c r="G52" s="108">
        <v>270</v>
      </c>
      <c r="H52" s="108">
        <v>0</v>
      </c>
      <c r="I52" s="108">
        <f>10000+1500+G4*10</f>
        <v>13000</v>
      </c>
      <c r="J52" s="297">
        <f>IF(F15=Kleine_Anlage,(M$41/G52*100*H$91+J$91),IF(F15=Große_Anlage,(M$42/G52*100*H$91+J$91),IF(F15=freie_Eingabe,(M$43/G52*100*H$91+J$91))))</f>
        <v>936.9277777777777</v>
      </c>
      <c r="K52" s="106"/>
      <c r="M52" s="401" t="e">
        <f>IF(F15=Kleine_Anlage,(M$41/G57*100*H$91+J$91),IF(F15=Große_Anlage,(M$42/G57*100*H$91+J$91),IF(F15=freie_Eingabe,(M$43/G57*100*H$91+J$91))))</f>
        <v>#DIV/0!</v>
      </c>
      <c r="N52" s="403" t="s">
        <v>241</v>
      </c>
      <c r="R52" s="105"/>
      <c r="S52" s="339" t="s">
        <v>188</v>
      </c>
      <c r="T52" s="3"/>
      <c r="U52" s="3"/>
      <c r="V52" s="339" t="s">
        <v>239</v>
      </c>
      <c r="W52" s="108">
        <v>270</v>
      </c>
      <c r="X52" s="108">
        <v>0</v>
      </c>
      <c r="Y52" s="108">
        <f>5000+1500+W4*10</f>
        <v>8000</v>
      </c>
      <c r="Z52" s="297">
        <f>IF(V15=Kleine_Anlage,(AF$41/W52*100*H$90),IF(V15=Große_Anlage,(AF$42/W52*100*H$90),IF(V15=freie_Eingabe,(AF$43/W52*100*H$90))))</f>
        <v>276.4185185185185</v>
      </c>
      <c r="AA52" s="106"/>
    </row>
    <row r="53" spans="2:30" ht="12.75">
      <c r="B53" s="105"/>
      <c r="C53" s="339" t="s">
        <v>219</v>
      </c>
      <c r="D53" s="3"/>
      <c r="E53" s="3"/>
      <c r="F53" s="339" t="s">
        <v>141</v>
      </c>
      <c r="G53" s="108">
        <v>85</v>
      </c>
      <c r="H53" s="108">
        <v>130</v>
      </c>
      <c r="I53" s="108">
        <f>12000+1000+1500+G4*10</f>
        <v>16000</v>
      </c>
      <c r="J53" s="297">
        <f>IF(F15=Kleine_Anlage,(M$41/G53*100*H88/G88+55*2400/1000*H90),IF(F15=Große_Anlage,(M$42/G53*100*H88/G88+55*2400/1000*H90),IF(F15=freie_Eingabe,(M$43/G53*100*H88/G88+55*2400/1000*H90))))</f>
        <v>662.3011764705883</v>
      </c>
      <c r="K53" s="106"/>
      <c r="M53" s="401" t="e">
        <f>IF(F15=Kleine_Anlage,(M$41/G57*100*H88/G88+55*2400/1000*H90),IF(F15=Große_Anlage,(M$42/G57*100*H88/G88+55*2400/1000*H90),IF(F15=freie_Eingabe,(M$43/G57*100*H88/G88+55*2400/1000*H90))))</f>
        <v>#DIV/0!</v>
      </c>
      <c r="N53" s="403" t="s">
        <v>224</v>
      </c>
      <c r="R53" s="105"/>
      <c r="S53" s="339" t="s">
        <v>218</v>
      </c>
      <c r="T53" s="3"/>
      <c r="U53" s="3"/>
      <c r="V53" s="339" t="s">
        <v>141</v>
      </c>
      <c r="W53" s="108">
        <v>85</v>
      </c>
      <c r="X53" s="108">
        <v>130</v>
      </c>
      <c r="Y53" s="108">
        <f>6500+1000+1500+W4*10</f>
        <v>10500</v>
      </c>
      <c r="Z53" s="297">
        <f>IF(V15=Kleine_Anlage,(AF$41/W53*100*H88/G88+55*1200/1000*H90),IF(V15=Große_Anlage,(AF$42/W53*100*H88/G88+55*1200/1000*H90),IF(V15=freie_Eingabe,(AF$43/W53*100*H88/G88+55*1200/1000*H90))))</f>
        <v>179.25882352941179</v>
      </c>
      <c r="AA53" s="106"/>
      <c r="AC53" s="401" t="e">
        <f>IF(V15=Kleine_Anlage,(AF$41/W57*100*H88/G88+55*1200/1000*H90),IF(V15=Große_Anlage,(AF$42/W57*100*H88/G88+55*1200/1000*H90),IF(V15=freie_Eingabe,(AF$43/W57*100*H88/G88+55*1200/1000*H90))))</f>
        <v>#DIV/0!</v>
      </c>
      <c r="AD53" s="403" t="s">
        <v>224</v>
      </c>
    </row>
    <row r="54" spans="2:30" ht="12.75">
      <c r="B54" s="105"/>
      <c r="C54" s="339" t="s">
        <v>199</v>
      </c>
      <c r="D54" s="3"/>
      <c r="E54" s="3"/>
      <c r="F54" s="339" t="s">
        <v>200</v>
      </c>
      <c r="G54" s="108">
        <v>95</v>
      </c>
      <c r="H54" s="361">
        <v>130</v>
      </c>
      <c r="I54" s="108">
        <f>8500+G4*10</f>
        <v>10000</v>
      </c>
      <c r="J54" s="297">
        <f>IF(F15=Kleine_Anlage,(M$41/G54*100*H87/G87),IF(F15=Große_Anlage,(M$42/G54*100*H87/G87),IF(F15=freie_Eingabe,(M$43/G54*100*H87/G87))))</f>
        <v>772.5821052631579</v>
      </c>
      <c r="K54" s="106"/>
      <c r="M54" s="401" t="e">
        <f>IF(F15=Kleine_Anlage,(M$41/G57*100*H89/G89+55*1200/1000*H90),IF(F15=Große_Anlage,(M$42/G57*100*H89/G89+55*1200/1000*H90),IF(F15=freie_Eingabe,(M$43/G57*100*H89/G89+55*1200/1000*H90))))</f>
        <v>#DIV/0!</v>
      </c>
      <c r="N54" s="403" t="s">
        <v>225</v>
      </c>
      <c r="R54" s="105"/>
      <c r="S54" s="339" t="s">
        <v>150</v>
      </c>
      <c r="T54" s="3"/>
      <c r="U54" s="3"/>
      <c r="V54" s="296" t="s">
        <v>134</v>
      </c>
      <c r="W54" s="108">
        <v>80</v>
      </c>
      <c r="X54" s="361">
        <v>80</v>
      </c>
      <c r="Y54" s="108">
        <f>5000+1000+1500+W4*10</f>
        <v>9000</v>
      </c>
      <c r="Z54" s="297">
        <f>IF(V15=Kleine_Anlage,(AF$41/W54*100*H89/G89+55*1200/1000*H90),IF(V15=Große_Anlage,(AF$42/W54*100*H89/G89+55*1200/1000*H90),IF(V15=freie_Eingabe,(AF$43/W54*100*H89/G89+55*1200/1000*H90))))</f>
        <v>156.69819444444445</v>
      </c>
      <c r="AA54" s="106"/>
      <c r="AC54" s="401" t="e">
        <f>IF(V15=Kleine_Anlage,(AF$41/W57*100*H89/G89+55*1200/1000*H90),IF(V15=Große_Anlage,(AF$42/W57*100*H89/G89+55*1200/1000*H90),IF(V15=freie_Eingabe,(AF$43/W57*100*H89/G89+55*1200/1000*H90))))</f>
        <v>#DIV/0!</v>
      </c>
      <c r="AD54" s="403" t="s">
        <v>225</v>
      </c>
    </row>
    <row r="55" spans="2:30" ht="12.75">
      <c r="B55" s="105"/>
      <c r="C55" s="339" t="s">
        <v>190</v>
      </c>
      <c r="D55" s="3"/>
      <c r="E55" s="3"/>
      <c r="F55" s="296" t="s">
        <v>151</v>
      </c>
      <c r="G55" s="108">
        <v>100</v>
      </c>
      <c r="H55" s="361">
        <v>100</v>
      </c>
      <c r="I55" s="108">
        <f>7500+G4*10</f>
        <v>9000</v>
      </c>
      <c r="J55" s="297">
        <f>IF(F15=Kleine_Anlage,(M$41/G55*100*H85/G85+J85),IF(F15=Große_Anlage,(M$42/G55*100*H85/G85+J85),IF(F15=freie_Eingabe,(M$43/G55*100*H85/G85+J85))))</f>
        <v>792.3505</v>
      </c>
      <c r="K55" s="106"/>
      <c r="M55" s="401" t="e">
        <f>IF(F15=Kleine_Anlage,(M$41/G57*100*H85/G85+J85),IF(F15=Große_Anlage,(M$42/G57*100*H85/G85+J85),IF(F15=freie_Eingabe,(M$43/G57*100*H85/G85+J85))))</f>
        <v>#DIV/0!</v>
      </c>
      <c r="N55" s="403" t="s">
        <v>151</v>
      </c>
      <c r="R55" s="105"/>
      <c r="S55" s="339" t="s">
        <v>190</v>
      </c>
      <c r="T55" s="3"/>
      <c r="U55" s="3"/>
      <c r="V55" s="296" t="s">
        <v>151</v>
      </c>
      <c r="W55" s="108">
        <v>100</v>
      </c>
      <c r="X55" s="361">
        <v>100</v>
      </c>
      <c r="Y55" s="108">
        <f>7500+W4*10</f>
        <v>9000</v>
      </c>
      <c r="Z55" s="297">
        <f>IF(V15=Kleine_Anlage,(AF$41/W55*100*H85/G85+J85),IF(V15=Große_Anlage,(AF$42/W55*100*H85/G85+J85),IF(V15=freie_Eingabe,(AF$43/W55*100*H85/G85+J85))))</f>
        <v>289.1005</v>
      </c>
      <c r="AA55" s="106"/>
      <c r="AC55" s="401" t="e">
        <f>IF(V15=Kleine_Anlage,(AF$41/W57*100*H85/G85+J85),IF(V15=Große_Anlage,(AF$42/W57*100*H85/G85+J85),IF(V15=freie_Eingabe,(AF$43/W57*100*H85/G85+J85))))</f>
        <v>#DIV/0!</v>
      </c>
      <c r="AD55" s="403" t="s">
        <v>151</v>
      </c>
    </row>
    <row r="56" spans="2:30" ht="12.75">
      <c r="B56" s="105"/>
      <c r="C56" s="339" t="s">
        <v>191</v>
      </c>
      <c r="D56" s="3"/>
      <c r="E56" s="3"/>
      <c r="F56" s="296" t="s">
        <v>142</v>
      </c>
      <c r="G56" s="108">
        <v>100</v>
      </c>
      <c r="H56" s="361">
        <v>100</v>
      </c>
      <c r="I56" s="108">
        <f>7500+G4*10</f>
        <v>9000</v>
      </c>
      <c r="J56" s="297">
        <f>IF(F15=Kleine_Anlage,(M$41/G56*100*H86/G86),IF(F15=Große_Anlage,(M$42/G56*100*H86/G86),IF(F15=freie_Eingabe,(M$43/G56*100*H86/G86))))</f>
        <v>937.2992857142856</v>
      </c>
      <c r="K56" s="106"/>
      <c r="M56" s="401" t="e">
        <f>IF(F15=Kleine_Anlage,(M$41/G57*100*H86/G86),IF(F15=Große_Anlage,(M$42/G57*100*H86/G86),IF(F15=freie_Eingabe,(M$43/G57*100*H86/G86))))</f>
        <v>#DIV/0!</v>
      </c>
      <c r="N56" s="403" t="s">
        <v>142</v>
      </c>
      <c r="R56" s="105"/>
      <c r="S56" s="339" t="s">
        <v>191</v>
      </c>
      <c r="T56" s="3"/>
      <c r="U56" s="3"/>
      <c r="V56" s="296" t="s">
        <v>142</v>
      </c>
      <c r="W56" s="108">
        <v>100</v>
      </c>
      <c r="X56" s="361">
        <v>100</v>
      </c>
      <c r="Y56" s="108">
        <f>7500+W4*10</f>
        <v>9000</v>
      </c>
      <c r="Z56" s="297">
        <f>IF(V15=Kleine_Anlage,(AF$41/W56*100*H86/G86),IF(V15=Große_Anlage,(AF$42/W56*100*H86/G86),IF(V15=freie_Eingabe,(AF$43/W56*100*H86/G86))))</f>
        <v>241.94214285714284</v>
      </c>
      <c r="AA56" s="106"/>
      <c r="AC56" s="401" t="e">
        <f>IF(V15=Kleine_Anlage,(AF$41/W57*100*H86/G86),IF(V15=Große_Anlage,(AF$42/W57*100*H86/G86),IF(V15=freie_Eingabe,(AF$43/W57*100*H86/G86))))</f>
        <v>#DIV/0!</v>
      </c>
      <c r="AD56" s="403" t="s">
        <v>142</v>
      </c>
    </row>
    <row r="57" spans="2:31" ht="12.75">
      <c r="B57" s="105"/>
      <c r="C57" s="323" t="s">
        <v>243</v>
      </c>
      <c r="D57" s="302"/>
      <c r="E57" s="302"/>
      <c r="F57" s="404" t="s">
        <v>132</v>
      </c>
      <c r="G57" s="379"/>
      <c r="H57" s="382"/>
      <c r="I57" s="379"/>
      <c r="J57" s="335">
        <f>IF(ISNUMBER(G57),(O57),"")</f>
      </c>
      <c r="K57" s="106"/>
      <c r="M57" s="401" t="e">
        <f>IF(F15=Kleine_Anlage,(M$41/G57*100*H87/G87),IF(F15=Große_Anlage,(M$42/G57*100*H87/G87),IF(F15=freie_Eingabe,(M$43/G57*100*H87/G87))))</f>
        <v>#DIV/0!</v>
      </c>
      <c r="N57" s="403" t="s">
        <v>200</v>
      </c>
      <c r="O57" t="e">
        <f>IF(F57=Erdgas_H,(M55),IF(F57=Flüssiggas,(M56),IF(F57=Heizöl_EL,(M57),IF(F57=Pellets,(M53),IF(F57=Stückholz,(M54),IF(F57=Elektr._Strom,(M51),IF(F57=Elektr._Strom_WP,(M52))))))))</f>
        <v>#DIV/0!</v>
      </c>
      <c r="R57" s="105"/>
      <c r="S57" s="301" t="s">
        <v>149</v>
      </c>
      <c r="T57" s="302"/>
      <c r="U57" s="302"/>
      <c r="V57" s="404" t="s">
        <v>132</v>
      </c>
      <c r="W57" s="379"/>
      <c r="X57" s="402"/>
      <c r="Y57" s="379"/>
      <c r="Z57" s="335">
        <f>IF(ISNUMBER(W57),(AE57),"")</f>
      </c>
      <c r="AA57" s="106"/>
      <c r="AC57" s="401" t="e">
        <f>IF(V15=Kleine_Anlage,(AF$41/W57*100*H87/G87),IF(V15=Große_Anlage,(AF$42/W57*100*H87/G87),IF(V15=freie_Eingabe,(AF$43/W57*100*H87/G87))))</f>
        <v>#DIV/0!</v>
      </c>
      <c r="AD57" s="403" t="s">
        <v>200</v>
      </c>
      <c r="AE57" t="e">
        <f>IF(V57=Erdgas_H,(AC55),IF(V57=Flüssiggas,(AC56),IF(V57=Heizöl_EL,(AC57),IF(V57=Pellets,(AC53),IF(V57=Stückholz,(AC54),IF(V57=Elektr._Strom,(AC51)))))))</f>
        <v>#DIV/0!</v>
      </c>
    </row>
    <row r="58" spans="2:27" ht="7.5" customHeight="1">
      <c r="B58" s="298"/>
      <c r="C58" s="299"/>
      <c r="D58" s="299"/>
      <c r="E58" s="299"/>
      <c r="F58" s="299"/>
      <c r="G58" s="303"/>
      <c r="H58" s="299"/>
      <c r="I58" s="299"/>
      <c r="J58" s="299"/>
      <c r="K58" s="300"/>
      <c r="R58" s="298"/>
      <c r="S58" s="299"/>
      <c r="T58" s="299"/>
      <c r="U58" s="299"/>
      <c r="V58" s="299"/>
      <c r="W58" s="303"/>
      <c r="X58" s="299"/>
      <c r="Y58" s="299"/>
      <c r="Z58" s="299"/>
      <c r="AA58" s="300"/>
    </row>
    <row r="60" spans="2:27" ht="7.5" customHeight="1">
      <c r="B60" s="292"/>
      <c r="C60" s="293"/>
      <c r="D60" s="293"/>
      <c r="E60" s="293"/>
      <c r="F60" s="293"/>
      <c r="G60" s="293"/>
      <c r="H60" s="293"/>
      <c r="I60" s="293"/>
      <c r="J60" s="293"/>
      <c r="K60" s="294"/>
      <c r="R60" s="292"/>
      <c r="S60" s="293"/>
      <c r="T60" s="293"/>
      <c r="U60" s="293"/>
      <c r="V60" s="293"/>
      <c r="W60" s="293"/>
      <c r="X60" s="293"/>
      <c r="Y60" s="293"/>
      <c r="Z60" s="293"/>
      <c r="AA60" s="294"/>
    </row>
    <row r="61" spans="2:27" ht="12.75">
      <c r="B61" s="105"/>
      <c r="C61" s="317" t="s">
        <v>119</v>
      </c>
      <c r="D61" s="308"/>
      <c r="E61" s="308"/>
      <c r="F61" s="325" t="s">
        <v>161</v>
      </c>
      <c r="G61" s="308"/>
      <c r="H61" s="308"/>
      <c r="I61" s="598" t="s">
        <v>118</v>
      </c>
      <c r="J61" s="599"/>
      <c r="K61" s="106"/>
      <c r="R61" s="105"/>
      <c r="S61" s="317" t="s">
        <v>119</v>
      </c>
      <c r="T61" s="308"/>
      <c r="U61" s="308"/>
      <c r="V61" s="325" t="s">
        <v>161</v>
      </c>
      <c r="W61" s="308"/>
      <c r="X61" s="308"/>
      <c r="Y61" s="598" t="s">
        <v>118</v>
      </c>
      <c r="Z61" s="599"/>
      <c r="AA61" s="106"/>
    </row>
    <row r="62" spans="2:27" ht="12.75">
      <c r="B62" s="105"/>
      <c r="C62" s="333" t="s">
        <v>205</v>
      </c>
      <c r="D62" s="311"/>
      <c r="E62" s="311"/>
      <c r="F62" s="336" t="s">
        <v>171</v>
      </c>
      <c r="G62" s="311"/>
      <c r="H62" s="311"/>
      <c r="I62" s="325" t="s">
        <v>210</v>
      </c>
      <c r="J62" s="325" t="s">
        <v>160</v>
      </c>
      <c r="K62" s="106"/>
      <c r="R62" s="105"/>
      <c r="S62" s="333" t="s">
        <v>186</v>
      </c>
      <c r="T62" s="311"/>
      <c r="U62" s="311"/>
      <c r="V62" s="336" t="s">
        <v>171</v>
      </c>
      <c r="W62" s="311"/>
      <c r="X62" s="311"/>
      <c r="Y62" s="325" t="s">
        <v>210</v>
      </c>
      <c r="Z62" s="325" t="s">
        <v>160</v>
      </c>
      <c r="AA62" s="106"/>
    </row>
    <row r="63" spans="2:27" ht="12.75">
      <c r="B63" s="105"/>
      <c r="C63" s="314"/>
      <c r="D63" s="315"/>
      <c r="E63" s="315"/>
      <c r="F63" s="326" t="s">
        <v>172</v>
      </c>
      <c r="G63" s="315"/>
      <c r="H63" s="315"/>
      <c r="I63" s="326" t="s">
        <v>166</v>
      </c>
      <c r="J63" s="326" t="s">
        <v>165</v>
      </c>
      <c r="K63" s="106"/>
      <c r="R63" s="105"/>
      <c r="S63" s="314"/>
      <c r="T63" s="315"/>
      <c r="U63" s="315"/>
      <c r="V63" s="326" t="s">
        <v>172</v>
      </c>
      <c r="W63" s="315"/>
      <c r="X63" s="315"/>
      <c r="Y63" s="326" t="s">
        <v>166</v>
      </c>
      <c r="Z63" s="326" t="s">
        <v>165</v>
      </c>
      <c r="AA63" s="106"/>
    </row>
    <row r="64" spans="2:27" ht="6" customHeight="1">
      <c r="B64" s="105"/>
      <c r="C64" s="3"/>
      <c r="D64" s="3"/>
      <c r="E64" s="3"/>
      <c r="F64" s="3"/>
      <c r="G64" s="3"/>
      <c r="H64" s="3"/>
      <c r="I64" s="3"/>
      <c r="J64" s="3"/>
      <c r="K64" s="106"/>
      <c r="R64" s="105"/>
      <c r="S64" s="3"/>
      <c r="T64" s="3"/>
      <c r="U64" s="3"/>
      <c r="V64" s="3"/>
      <c r="W64" s="3"/>
      <c r="X64" s="3"/>
      <c r="Y64" s="3"/>
      <c r="Z64" s="3"/>
      <c r="AA64" s="106"/>
    </row>
    <row r="65" spans="2:27" ht="12.75">
      <c r="B65" s="105"/>
      <c r="C65" s="339" t="s">
        <v>204</v>
      </c>
      <c r="D65" s="3"/>
      <c r="E65" s="3"/>
      <c r="F65" s="295"/>
      <c r="G65" s="3"/>
      <c r="H65" s="3"/>
      <c r="I65" s="108"/>
      <c r="J65" s="297"/>
      <c r="K65" s="106"/>
      <c r="R65" s="105"/>
      <c r="S65" s="296" t="s">
        <v>120</v>
      </c>
      <c r="T65" s="3"/>
      <c r="U65" s="3"/>
      <c r="V65" s="295">
        <v>55</v>
      </c>
      <c r="W65" s="3"/>
      <c r="X65" s="3"/>
      <c r="Y65" s="108">
        <f>500+W4*2</f>
        <v>800</v>
      </c>
      <c r="Z65" s="297">
        <f>V65*2400/1000*H$90</f>
        <v>34.32</v>
      </c>
      <c r="AA65" s="106"/>
    </row>
    <row r="66" spans="2:27" ht="12.75">
      <c r="B66" s="105"/>
      <c r="C66" s="339" t="s">
        <v>229</v>
      </c>
      <c r="D66" s="3"/>
      <c r="E66" s="3"/>
      <c r="F66" s="295">
        <f>65+G$4/10</f>
        <v>80</v>
      </c>
      <c r="G66" s="3"/>
      <c r="H66" s="3"/>
      <c r="I66" s="108">
        <f>G4*45</f>
        <v>6750</v>
      </c>
      <c r="J66" s="297">
        <f>F66*3600/1000*H$90</f>
        <v>74.88</v>
      </c>
      <c r="K66" s="106"/>
      <c r="R66" s="105"/>
      <c r="S66" s="296" t="s">
        <v>121</v>
      </c>
      <c r="T66" s="3"/>
      <c r="U66" s="3"/>
      <c r="V66" s="295">
        <f>65+W$4/10</f>
        <v>80</v>
      </c>
      <c r="W66" s="3"/>
      <c r="X66" s="3"/>
      <c r="Y66" s="108">
        <f>W4*30</f>
        <v>4500</v>
      </c>
      <c r="Z66" s="297">
        <f>V66*2400/1000*H$90</f>
        <v>49.92</v>
      </c>
      <c r="AA66" s="106"/>
    </row>
    <row r="67" spans="2:27" ht="12.75">
      <c r="B67" s="105"/>
      <c r="C67" s="339" t="s">
        <v>228</v>
      </c>
      <c r="D67" s="3"/>
      <c r="E67" s="3"/>
      <c r="F67" s="295">
        <f>65+G$4/10</f>
        <v>80</v>
      </c>
      <c r="G67" s="3"/>
      <c r="H67" s="3"/>
      <c r="I67" s="108">
        <f>G4*60</f>
        <v>9000</v>
      </c>
      <c r="J67" s="297">
        <f>F67*3600/1000*H$90</f>
        <v>74.88</v>
      </c>
      <c r="K67" s="106"/>
      <c r="R67" s="105"/>
      <c r="S67" s="296" t="s">
        <v>122</v>
      </c>
      <c r="T67" s="3"/>
      <c r="U67" s="3"/>
      <c r="V67" s="295">
        <f>65+W$4/10</f>
        <v>80</v>
      </c>
      <c r="W67" s="3"/>
      <c r="X67" s="3"/>
      <c r="Y67" s="108">
        <f>W4*40</f>
        <v>6000</v>
      </c>
      <c r="Z67" s="297">
        <f>V67*2400/1000*H$90</f>
        <v>49.92</v>
      </c>
      <c r="AA67" s="106"/>
    </row>
    <row r="68" spans="2:27" ht="12.75">
      <c r="B68" s="105"/>
      <c r="C68" s="339" t="s">
        <v>197</v>
      </c>
      <c r="D68" s="3"/>
      <c r="E68" s="3"/>
      <c r="F68" s="295">
        <f>65+G$4/10</f>
        <v>80</v>
      </c>
      <c r="G68" s="3"/>
      <c r="H68" s="3"/>
      <c r="I68" s="108">
        <f>G4*40</f>
        <v>6000</v>
      </c>
      <c r="J68" s="297">
        <f>F68*3600/1000*H$90</f>
        <v>74.88</v>
      </c>
      <c r="K68" s="106"/>
      <c r="R68" s="105"/>
      <c r="S68" s="339" t="s">
        <v>197</v>
      </c>
      <c r="T68" s="3"/>
      <c r="U68" s="3"/>
      <c r="V68" s="295">
        <f>65+W$4/10</f>
        <v>80</v>
      </c>
      <c r="W68" s="3"/>
      <c r="X68" s="3"/>
      <c r="Y68" s="108">
        <f>W4*25</f>
        <v>3750</v>
      </c>
      <c r="Z68" s="297">
        <f>V68*2400/1000*H$90</f>
        <v>49.92</v>
      </c>
      <c r="AA68" s="106"/>
    </row>
    <row r="69" spans="2:27" ht="12.75">
      <c r="B69" s="105"/>
      <c r="C69" s="323" t="s">
        <v>189</v>
      </c>
      <c r="D69" s="302"/>
      <c r="E69" s="302"/>
      <c r="F69" s="383"/>
      <c r="G69" s="357"/>
      <c r="H69" s="358"/>
      <c r="I69" s="384"/>
      <c r="J69" s="356">
        <f>IF(ISNUMBER(F69),F69*3600/1000*$H$90,"")</f>
      </c>
      <c r="K69" s="106"/>
      <c r="R69" s="105"/>
      <c r="S69" s="323" t="s">
        <v>189</v>
      </c>
      <c r="T69" s="302"/>
      <c r="U69" s="302"/>
      <c r="V69" s="383"/>
      <c r="W69" s="357"/>
      <c r="X69" s="358"/>
      <c r="Y69" s="384"/>
      <c r="Z69" s="356">
        <f>IF(ISNUMBER(V69),V69*2400/1000*$H$90,"")</f>
      </c>
      <c r="AA69" s="106"/>
    </row>
    <row r="70" spans="2:27" ht="7.5" customHeight="1">
      <c r="B70" s="298"/>
      <c r="C70" s="299"/>
      <c r="D70" s="299"/>
      <c r="E70" s="299"/>
      <c r="F70" s="299"/>
      <c r="G70" s="299"/>
      <c r="H70" s="299"/>
      <c r="I70" s="299"/>
      <c r="J70" s="299"/>
      <c r="K70" s="300"/>
      <c r="R70" s="298"/>
      <c r="S70" s="299"/>
      <c r="T70" s="299"/>
      <c r="U70" s="299"/>
      <c r="V70" s="299"/>
      <c r="W70" s="299"/>
      <c r="X70" s="299"/>
      <c r="Y70" s="299"/>
      <c r="Z70" s="299"/>
      <c r="AA70" s="300"/>
    </row>
    <row r="71" spans="2:27" ht="5.25" customHeight="1" thickBot="1">
      <c r="B71" s="3"/>
      <c r="C71" s="3"/>
      <c r="D71" s="3"/>
      <c r="E71" s="3"/>
      <c r="F71" s="3"/>
      <c r="G71" s="3"/>
      <c r="H71" s="3"/>
      <c r="I71" s="3"/>
      <c r="J71" s="3"/>
      <c r="K71" s="3"/>
      <c r="R71" s="3"/>
      <c r="S71" s="3"/>
      <c r="T71" s="3"/>
      <c r="U71" s="3"/>
      <c r="V71" s="3"/>
      <c r="W71" s="3"/>
      <c r="X71" s="3"/>
      <c r="Y71" s="3"/>
      <c r="Z71" s="3"/>
      <c r="AA71" s="3"/>
    </row>
    <row r="72" spans="7:26" ht="13.5" thickBot="1">
      <c r="G72" s="370" t="s">
        <v>208</v>
      </c>
      <c r="H72" s="57"/>
      <c r="I72" s="510" t="s">
        <v>73</v>
      </c>
      <c r="J72" s="511"/>
      <c r="W72" s="370" t="s">
        <v>208</v>
      </c>
      <c r="X72" s="57"/>
      <c r="Y72" s="510" t="s">
        <v>73</v>
      </c>
      <c r="Z72" s="511"/>
    </row>
    <row r="73" ht="5.25" customHeight="1"/>
    <row r="74" ht="13.5" customHeight="1"/>
    <row r="75" spans="3:10" ht="18">
      <c r="C75" s="595" t="s">
        <v>209</v>
      </c>
      <c r="D75" s="596"/>
      <c r="E75" s="596"/>
      <c r="F75" s="596"/>
      <c r="G75" s="596"/>
      <c r="H75" s="596"/>
      <c r="I75" s="596"/>
      <c r="J75" s="597"/>
    </row>
    <row r="76" ht="13.5" customHeight="1"/>
    <row r="77" spans="3:10" ht="15.75">
      <c r="C77" s="342" t="s">
        <v>195</v>
      </c>
      <c r="D77" s="343"/>
      <c r="E77" s="343"/>
      <c r="F77" s="360" t="s">
        <v>196</v>
      </c>
      <c r="G77" s="343"/>
      <c r="H77" s="343"/>
      <c r="I77" s="343"/>
      <c r="J77" s="344"/>
    </row>
    <row r="78" spans="3:10" ht="12.75">
      <c r="C78" s="340" t="s">
        <v>180</v>
      </c>
      <c r="D78" s="3"/>
      <c r="E78" s="3"/>
      <c r="F78" s="345">
        <f>W4*12.5</f>
        <v>1875</v>
      </c>
      <c r="G78" s="3"/>
      <c r="H78" s="3"/>
      <c r="I78" s="3"/>
      <c r="J78" s="106"/>
    </row>
    <row r="79" spans="3:10" ht="12.75">
      <c r="C79" s="341" t="s">
        <v>198</v>
      </c>
      <c r="D79" s="299"/>
      <c r="E79" s="299"/>
      <c r="F79" s="346">
        <f>25*50*365/1000*V10</f>
        <v>1825</v>
      </c>
      <c r="G79" s="299"/>
      <c r="H79" s="299"/>
      <c r="I79" s="299"/>
      <c r="J79" s="300"/>
    </row>
    <row r="80" spans="2:27" ht="12.75">
      <c r="B80" s="3"/>
      <c r="C80" s="3"/>
      <c r="D80" s="3"/>
      <c r="E80" s="3"/>
      <c r="F80" s="3"/>
      <c r="G80" s="3"/>
      <c r="H80" s="3"/>
      <c r="I80" s="3"/>
      <c r="J80" s="3"/>
      <c r="AA80" s="3"/>
    </row>
    <row r="81" spans="2:27" ht="12.75">
      <c r="B81" s="3"/>
      <c r="C81" s="317" t="s">
        <v>152</v>
      </c>
      <c r="D81" s="308"/>
      <c r="E81" s="308"/>
      <c r="F81" s="308"/>
      <c r="G81" s="308"/>
      <c r="H81" s="331" t="s">
        <v>168</v>
      </c>
      <c r="I81" s="430" t="s">
        <v>144</v>
      </c>
      <c r="J81" s="374" t="s">
        <v>168</v>
      </c>
      <c r="AA81" s="3"/>
    </row>
    <row r="82" spans="2:27" ht="12.75">
      <c r="B82" s="3"/>
      <c r="C82" s="333" t="s">
        <v>256</v>
      </c>
      <c r="D82" s="311"/>
      <c r="E82" s="311"/>
      <c r="F82" s="319" t="s">
        <v>136</v>
      </c>
      <c r="G82" s="319" t="s">
        <v>130</v>
      </c>
      <c r="H82" s="319" t="s">
        <v>131</v>
      </c>
      <c r="I82" s="319" t="s">
        <v>145</v>
      </c>
      <c r="J82" s="320" t="s">
        <v>146</v>
      </c>
      <c r="AA82" s="3"/>
    </row>
    <row r="83" spans="2:27" ht="12.75">
      <c r="B83" s="3"/>
      <c r="C83" s="314" t="s">
        <v>158</v>
      </c>
      <c r="D83" s="315"/>
      <c r="E83" s="315"/>
      <c r="F83" s="327" t="s">
        <v>167</v>
      </c>
      <c r="G83" s="327" t="s">
        <v>163</v>
      </c>
      <c r="H83" s="327" t="s">
        <v>162</v>
      </c>
      <c r="I83" s="327" t="s">
        <v>164</v>
      </c>
      <c r="J83" s="328" t="s">
        <v>165</v>
      </c>
      <c r="AA83" s="3"/>
    </row>
    <row r="84" spans="2:27" ht="6" customHeight="1">
      <c r="B84" s="3"/>
      <c r="C84" s="105"/>
      <c r="D84" s="3"/>
      <c r="E84" s="3"/>
      <c r="F84" s="295"/>
      <c r="G84" s="304"/>
      <c r="H84" s="304"/>
      <c r="I84" s="304"/>
      <c r="J84" s="324"/>
      <c r="AA84" s="3"/>
    </row>
    <row r="85" spans="2:27" ht="12.75">
      <c r="B85" s="3"/>
      <c r="C85" s="306" t="s">
        <v>132</v>
      </c>
      <c r="D85" s="3"/>
      <c r="E85" s="3"/>
      <c r="F85" s="295" t="s">
        <v>137</v>
      </c>
      <c r="G85" s="108">
        <v>10</v>
      </c>
      <c r="H85" s="381">
        <v>0.61</v>
      </c>
      <c r="I85" s="329">
        <f>'Eingabe-Ergebnis'!I$12</f>
        <v>0.05</v>
      </c>
      <c r="J85" s="385">
        <v>114</v>
      </c>
      <c r="AA85" s="3"/>
    </row>
    <row r="86" spans="2:27" ht="12.75">
      <c r="B86" s="3"/>
      <c r="C86" s="306" t="s">
        <v>142</v>
      </c>
      <c r="D86" s="3"/>
      <c r="E86" s="3"/>
      <c r="F86" s="295" t="s">
        <v>138</v>
      </c>
      <c r="G86" s="108">
        <v>7</v>
      </c>
      <c r="H86" s="379">
        <v>0.59</v>
      </c>
      <c r="I86" s="329">
        <f>'Eingabe-Ergebnis'!I$12</f>
        <v>0.05</v>
      </c>
      <c r="J86" s="106"/>
      <c r="AA86" s="3"/>
    </row>
    <row r="87" spans="2:27" ht="12.75">
      <c r="B87" s="3"/>
      <c r="C87" s="306" t="s">
        <v>133</v>
      </c>
      <c r="D87" s="3"/>
      <c r="E87" s="3"/>
      <c r="F87" s="295" t="s">
        <v>138</v>
      </c>
      <c r="G87" s="108">
        <v>10</v>
      </c>
      <c r="H87" s="381">
        <v>0.66</v>
      </c>
      <c r="I87" s="329">
        <f>'Eingabe-Ergebnis'!I$12</f>
        <v>0.05</v>
      </c>
      <c r="J87" s="106"/>
      <c r="AA87" s="3"/>
    </row>
    <row r="88" spans="2:27" ht="12.75">
      <c r="B88" s="3"/>
      <c r="C88" s="306" t="s">
        <v>141</v>
      </c>
      <c r="D88" s="3"/>
      <c r="E88" s="3"/>
      <c r="F88" s="295" t="s">
        <v>139</v>
      </c>
      <c r="G88" s="108">
        <v>5</v>
      </c>
      <c r="H88" s="379">
        <v>0.24</v>
      </c>
      <c r="I88" s="329">
        <f>'Eingabe-Ergebnis'!I$12</f>
        <v>0.05</v>
      </c>
      <c r="J88" s="106"/>
      <c r="AA88" s="3"/>
    </row>
    <row r="89" spans="2:27" ht="12.75">
      <c r="B89" s="3"/>
      <c r="C89" s="306" t="s">
        <v>134</v>
      </c>
      <c r="D89" s="3"/>
      <c r="E89" s="3"/>
      <c r="F89" s="295" t="s">
        <v>137</v>
      </c>
      <c r="G89" s="108">
        <v>1800</v>
      </c>
      <c r="H89" s="381">
        <v>70</v>
      </c>
      <c r="I89" s="329">
        <f>'Eingabe-Ergebnis'!I$12</f>
        <v>0.05</v>
      </c>
      <c r="J89" s="106"/>
      <c r="AA89" s="3"/>
    </row>
    <row r="90" spans="2:27" ht="12.75">
      <c r="B90" s="3"/>
      <c r="C90" s="340" t="s">
        <v>239</v>
      </c>
      <c r="D90" s="3"/>
      <c r="E90" s="3"/>
      <c r="F90" s="295" t="s">
        <v>140</v>
      </c>
      <c r="G90" s="108">
        <v>1</v>
      </c>
      <c r="H90" s="432">
        <v>0.26</v>
      </c>
      <c r="I90" s="329">
        <f>'Eingabe-Ergebnis'!I$12</f>
        <v>0.05</v>
      </c>
      <c r="J90" s="433">
        <v>72</v>
      </c>
      <c r="AA90" s="3"/>
    </row>
    <row r="91" spans="2:27" ht="12.75">
      <c r="B91" s="3"/>
      <c r="C91" s="434" t="s">
        <v>240</v>
      </c>
      <c r="D91" s="299"/>
      <c r="E91" s="299"/>
      <c r="F91" s="305" t="s">
        <v>140</v>
      </c>
      <c r="G91" s="303">
        <v>1</v>
      </c>
      <c r="H91" s="381">
        <v>0.21</v>
      </c>
      <c r="I91" s="330">
        <f>'Eingabe-Ergebnis'!I$12</f>
        <v>0.05</v>
      </c>
      <c r="J91" s="385">
        <v>72</v>
      </c>
      <c r="AA91" s="3"/>
    </row>
    <row r="92" spans="2:27" ht="4.5" customHeight="1" thickBot="1">
      <c r="B92" s="3"/>
      <c r="C92" s="3"/>
      <c r="D92" s="3"/>
      <c r="E92" s="3"/>
      <c r="F92" s="3"/>
      <c r="G92" s="3"/>
      <c r="H92" s="3"/>
      <c r="I92" s="3"/>
      <c r="J92" s="3"/>
      <c r="AA92" s="3"/>
    </row>
    <row r="93" spans="7:10" ht="13.5" thickBot="1">
      <c r="G93" s="370" t="s">
        <v>208</v>
      </c>
      <c r="H93" s="57"/>
      <c r="I93" s="510" t="s">
        <v>73</v>
      </c>
      <c r="J93" s="511"/>
    </row>
  </sheetData>
  <sheetProtection password="A388" sheet="1" objects="1" scenarios="1" selectLockedCells="1"/>
  <mergeCells count="27">
    <mergeCell ref="F8:G8"/>
    <mergeCell ref="I93:J93"/>
    <mergeCell ref="Y72:Z72"/>
    <mergeCell ref="I72:J72"/>
    <mergeCell ref="C75:J75"/>
    <mergeCell ref="H47:J47"/>
    <mergeCell ref="I61:J61"/>
    <mergeCell ref="V17:W17"/>
    <mergeCell ref="G37:H37"/>
    <mergeCell ref="I37:J37"/>
    <mergeCell ref="C2:J2"/>
    <mergeCell ref="F13:G13"/>
    <mergeCell ref="F15:G15"/>
    <mergeCell ref="I10:J10"/>
    <mergeCell ref="F17:G17"/>
    <mergeCell ref="F19:G19"/>
    <mergeCell ref="H26:J26"/>
    <mergeCell ref="V19:W19"/>
    <mergeCell ref="Y10:Z10"/>
    <mergeCell ref="S2:Z2"/>
    <mergeCell ref="Y61:Z61"/>
    <mergeCell ref="X26:Z26"/>
    <mergeCell ref="W37:X37"/>
    <mergeCell ref="Y37:Z37"/>
    <mergeCell ref="X47:Z47"/>
    <mergeCell ref="V13:W13"/>
    <mergeCell ref="V15:W15"/>
  </mergeCells>
  <dataValidations count="11">
    <dataValidation type="list" allowBlank="1" showInputMessage="1" showErrorMessage="1" sqref="V13:W13">
      <formula1>$S$30:$S$33</formula1>
    </dataValidation>
    <dataValidation type="list" allowBlank="1" showInputMessage="1" showErrorMessage="1" sqref="V15:W15 F15:G15">
      <formula1>$S$41:$S$43</formula1>
    </dataValidation>
    <dataValidation type="list" allowBlank="1" showInputMessage="1" showErrorMessage="1" sqref="V17:W17">
      <formula1>$S$51:$S$57</formula1>
    </dataValidation>
    <dataValidation type="list" allowBlank="1" showInputMessage="1" showErrorMessage="1" sqref="V19:W19">
      <formula1>$S$65:$S$69</formula1>
    </dataValidation>
    <dataValidation type="list" allowBlank="1" showInputMessage="1" showErrorMessage="1" sqref="F13:G13">
      <formula1>$C$30:$C$33</formula1>
    </dataValidation>
    <dataValidation type="list" allowBlank="1" showInputMessage="1" showErrorMessage="1" sqref="F17:G17">
      <formula1>$C$51:$C$57</formula1>
    </dataValidation>
    <dataValidation type="list" allowBlank="1" showInputMessage="1" showErrorMessage="1" sqref="F19:G19">
      <formula1>$C$66:$C$69</formula1>
    </dataValidation>
    <dataValidation type="list" allowBlank="1" showInputMessage="1" showErrorMessage="1" sqref="F8:G8">
      <formula1>$C$78:$C$79</formula1>
    </dataValidation>
    <dataValidation type="list" allowBlank="1" showInputMessage="1" showErrorMessage="1" sqref="V57">
      <formula1>$C$85:$C$90</formula1>
    </dataValidation>
    <dataValidation type="list" allowBlank="1" showInputMessage="1" showErrorMessage="1" sqref="F57">
      <formula1>$C$85:$C$91</formula1>
    </dataValidation>
    <dataValidation type="whole" allowBlank="1" showInputMessage="1" showErrorMessage="1" error="min 20 m² Wfl / Person&#10;max 50 m² Wfl / Person" sqref="F10">
      <formula1>N4</formula1>
      <formula2>O4</formula2>
    </dataValidation>
  </dataValidations>
  <hyperlinks>
    <hyperlink ref="I93" r:id="rId1" display="www.Architekt-A.de"/>
    <hyperlink ref="Y72" r:id="rId2" display="www.Architekt-A.de"/>
    <hyperlink ref="I72" r:id="rId3" display="www.Architekt-A.de"/>
  </hyperlinks>
  <printOptions/>
  <pageMargins left="0.25" right="0.25" top="0.75" bottom="0.75" header="0.3" footer="0.3"/>
  <pageSetup horizontalDpi="600" verticalDpi="600" orientation="portrait" paperSize="9" scale="95" r:id="rId6"/>
  <headerFooter>
    <oddFooter>&amp;C&amp;9Architekt Ambrosius . Am Gretchenweg 6 . 24404 Maasholm . Tel.: 04246 / 969220 . info@Architekt-A.de . www.Archtekt-A.de
Kostenvergleich/&amp;A &amp;D Seite &amp;P</oddFooter>
  </headerFooter>
  <legacyDrawing r:id="rId5"/>
</worksheet>
</file>

<file path=xl/worksheets/sheet5.xml><?xml version="1.0" encoding="utf-8"?>
<worksheet xmlns="http://schemas.openxmlformats.org/spreadsheetml/2006/main" xmlns:r="http://schemas.openxmlformats.org/officeDocument/2006/relationships">
  <dimension ref="B2:W839"/>
  <sheetViews>
    <sheetView showGridLines="0" showRowColHeaders="0" zoomScale="85" zoomScaleNormal="85" zoomScalePageLayoutView="0" workbookViewId="0" topLeftCell="A370">
      <selection activeCell="B371" sqref="B371"/>
    </sheetView>
  </sheetViews>
  <sheetFormatPr defaultColWidth="11.421875" defaultRowHeight="12.75"/>
  <cols>
    <col min="1" max="1" width="2.7109375" style="0" customWidth="1"/>
    <col min="2" max="2" width="8.57421875" style="0" bestFit="1" customWidth="1"/>
    <col min="3" max="3" width="11.7109375" style="0" customWidth="1"/>
    <col min="4" max="7" width="13.7109375" style="0" customWidth="1"/>
    <col min="8" max="8" width="15.421875" style="0" bestFit="1" customWidth="1"/>
    <col min="9" max="9" width="6.7109375" style="0" hidden="1" customWidth="1"/>
    <col min="10" max="10" width="13.421875" style="92" hidden="1" customWidth="1"/>
    <col min="11" max="11" width="4.00390625" style="0" customWidth="1"/>
    <col min="12" max="12" width="8.57421875" style="0" bestFit="1" customWidth="1"/>
    <col min="13" max="13" width="11.7109375" style="0" customWidth="1"/>
    <col min="14" max="17" width="13.7109375" style="0" customWidth="1"/>
    <col min="18" max="18" width="15.28125" style="0" customWidth="1"/>
    <col min="19" max="19" width="6.57421875" style="0" hidden="1" customWidth="1"/>
    <col min="20" max="21" width="12.7109375" style="92" hidden="1" customWidth="1"/>
    <col min="22" max="22" width="11.00390625" style="0" hidden="1" customWidth="1"/>
    <col min="23" max="23" width="9.7109375" style="92" hidden="1" customWidth="1"/>
    <col min="24" max="24" width="12.00390625" style="0" bestFit="1" customWidth="1"/>
    <col min="25" max="25" width="15.57421875" style="0" bestFit="1" customWidth="1"/>
    <col min="26" max="26" width="13.8515625" style="0" bestFit="1" customWidth="1"/>
    <col min="30" max="30" width="15.57421875" style="0" bestFit="1" customWidth="1"/>
  </cols>
  <sheetData>
    <row r="1" ht="13.5" thickBot="1"/>
    <row r="2" spans="2:17" ht="18.75" thickBot="1">
      <c r="B2" s="610" t="s">
        <v>80</v>
      </c>
      <c r="C2" s="611"/>
      <c r="D2" s="611"/>
      <c r="E2" s="611"/>
      <c r="F2" s="611"/>
      <c r="G2" s="611"/>
      <c r="H2" s="612"/>
      <c r="I2" s="135"/>
      <c r="J2" s="135"/>
      <c r="L2" s="610" t="s">
        <v>46</v>
      </c>
      <c r="M2" s="611"/>
      <c r="N2" s="611"/>
      <c r="O2" s="611"/>
      <c r="P2" s="611"/>
      <c r="Q2" s="612"/>
    </row>
    <row r="3" spans="3:17" ht="9" customHeight="1" thickBot="1">
      <c r="C3" s="134"/>
      <c r="D3" s="135"/>
      <c r="E3" s="135"/>
      <c r="F3" s="135"/>
      <c r="G3" s="135"/>
      <c r="H3" s="135"/>
      <c r="I3" s="135"/>
      <c r="J3" s="135"/>
      <c r="M3" s="134"/>
      <c r="N3" s="135"/>
      <c r="O3" s="135"/>
      <c r="P3" s="135"/>
      <c r="Q3" s="135"/>
    </row>
    <row r="4" spans="4:17" ht="18.75" thickBot="1">
      <c r="D4" s="142" t="s">
        <v>79</v>
      </c>
      <c r="E4" s="146" t="s">
        <v>21</v>
      </c>
      <c r="F4" s="141" t="s">
        <v>26</v>
      </c>
      <c r="G4" s="147" t="s">
        <v>82</v>
      </c>
      <c r="H4" s="135"/>
      <c r="I4" s="135"/>
      <c r="J4" s="135"/>
      <c r="M4" s="134"/>
      <c r="N4" s="135"/>
      <c r="O4" s="135"/>
      <c r="P4" s="135"/>
      <c r="Q4" s="135"/>
    </row>
    <row r="5" spans="4:17" ht="18.75" thickBot="1">
      <c r="D5" s="148">
        <f>G5*((1+(E5/1200))^(12*Detailergebnis!J5))*((1+(E5/1200))-1)/(((1+(E5/1200))^(12*Detailergebnis!J5))-1)</f>
        <v>2107.09261628104</v>
      </c>
      <c r="E5" s="149">
        <f>Detailergebnis!J6</f>
        <v>2.5</v>
      </c>
      <c r="F5" s="150">
        <f>(G5-G20)/G5</f>
        <v>0.039033590292387156</v>
      </c>
      <c r="G5" s="151">
        <f>Detailergebnis!D33</f>
        <v>397637.5</v>
      </c>
      <c r="H5" s="135"/>
      <c r="I5" s="135"/>
      <c r="J5" s="135"/>
      <c r="M5" s="134"/>
      <c r="N5" s="93"/>
      <c r="O5" s="94" t="s">
        <v>12</v>
      </c>
      <c r="P5" s="95">
        <f>LARGE(S9:S368,1)</f>
        <v>240</v>
      </c>
      <c r="Q5" s="135"/>
    </row>
    <row r="6" spans="4:7" ht="12.75">
      <c r="D6" s="6"/>
      <c r="E6" s="6"/>
      <c r="F6" s="6"/>
      <c r="G6" s="8"/>
    </row>
    <row r="7" spans="2:17" ht="15">
      <c r="B7" s="137" t="s">
        <v>22</v>
      </c>
      <c r="C7" s="137" t="s">
        <v>23</v>
      </c>
      <c r="D7" s="138" t="s">
        <v>83</v>
      </c>
      <c r="E7" s="138" t="s">
        <v>41</v>
      </c>
      <c r="F7" s="138" t="s">
        <v>84</v>
      </c>
      <c r="G7" s="139" t="s">
        <v>24</v>
      </c>
      <c r="H7" s="137" t="s">
        <v>25</v>
      </c>
      <c r="I7" s="1"/>
      <c r="J7" s="129"/>
      <c r="K7" s="3"/>
      <c r="L7" s="137" t="s">
        <v>22</v>
      </c>
      <c r="M7" s="137" t="s">
        <v>23</v>
      </c>
      <c r="N7" s="138" t="s">
        <v>83</v>
      </c>
      <c r="O7" s="138" t="s">
        <v>41</v>
      </c>
      <c r="P7" s="138" t="s">
        <v>84</v>
      </c>
      <c r="Q7" s="139" t="s">
        <v>24</v>
      </c>
    </row>
    <row r="8" spans="2:17" ht="12.75">
      <c r="B8" s="9"/>
      <c r="C8" s="9"/>
      <c r="D8" s="10"/>
      <c r="E8" s="10"/>
      <c r="F8" s="10"/>
      <c r="G8" s="11"/>
      <c r="H8" s="9"/>
      <c r="K8" s="3"/>
      <c r="L8" s="9"/>
      <c r="M8" s="9"/>
      <c r="N8" s="10"/>
      <c r="O8" s="10"/>
      <c r="P8" s="10"/>
      <c r="Q8" s="11"/>
    </row>
    <row r="9" spans="2:19" ht="12.75">
      <c r="B9" s="9">
        <v>1</v>
      </c>
      <c r="C9" s="9" t="s">
        <v>27</v>
      </c>
      <c r="D9" s="10">
        <f>D5</f>
        <v>2107.09261628104</v>
      </c>
      <c r="E9" s="10">
        <f>G5/100*E5/12</f>
        <v>828.4114583333334</v>
      </c>
      <c r="F9" s="10">
        <f>D9-E9</f>
        <v>1278.6811579477067</v>
      </c>
      <c r="G9" s="11">
        <f>G5-F9-H9</f>
        <v>396358.8188420523</v>
      </c>
      <c r="H9" s="9"/>
      <c r="I9" s="92">
        <f aca="true" t="shared" si="0" ref="I9:I44">IF(E9&gt;0,B9,"")</f>
        <v>1</v>
      </c>
      <c r="K9" s="3"/>
      <c r="L9" s="9">
        <v>1</v>
      </c>
      <c r="M9" s="9" t="s">
        <v>27</v>
      </c>
      <c r="N9" s="10">
        <f>D5</f>
        <v>2107.09261628104</v>
      </c>
      <c r="O9" s="10">
        <f>G5/100*E5/12</f>
        <v>828.4114583333334</v>
      </c>
      <c r="P9" s="10">
        <f>N9-O9</f>
        <v>1278.6811579477067</v>
      </c>
      <c r="Q9" s="11">
        <f>G5-P9</f>
        <v>396358.8188420523</v>
      </c>
      <c r="S9" s="92">
        <f>IF(O9&gt;0,L9,"")</f>
        <v>1</v>
      </c>
    </row>
    <row r="10" spans="2:19" ht="12.75">
      <c r="B10" s="9">
        <v>2</v>
      </c>
      <c r="C10" s="9" t="s">
        <v>28</v>
      </c>
      <c r="D10" s="10">
        <f aca="true" t="shared" si="1" ref="D10:D73">IF(G9&lt;D$5,G9+E10,D$5)</f>
        <v>2107.09261628104</v>
      </c>
      <c r="E10" s="10">
        <f aca="true" t="shared" si="2" ref="E10:E73">IF(G9/100*E$5/12&lt;0,0,G9/100*E$5/12)</f>
        <v>825.7475392542757</v>
      </c>
      <c r="F10" s="10">
        <f aca="true" t="shared" si="3" ref="F10:F73">D10-E10</f>
        <v>1281.3450770267646</v>
      </c>
      <c r="G10" s="11">
        <f>G9-F10-H10</f>
        <v>395077.47376502556</v>
      </c>
      <c r="H10" s="9"/>
      <c r="I10" s="92">
        <f t="shared" si="0"/>
        <v>2</v>
      </c>
      <c r="L10" s="9">
        <v>2</v>
      </c>
      <c r="M10" s="9" t="s">
        <v>28</v>
      </c>
      <c r="N10" s="10">
        <f aca="true" t="shared" si="4" ref="N10:N73">IF(Q9&lt;D$5,Q9+O10,D$5)</f>
        <v>2107.09261628104</v>
      </c>
      <c r="O10" s="10">
        <f aca="true" t="shared" si="5" ref="O10:O73">IF(Q9/100*E$5/12&lt;0,0,Q9/100*E$5/12)</f>
        <v>825.7475392542757</v>
      </c>
      <c r="P10" s="10">
        <f aca="true" t="shared" si="6" ref="P10:P73">N10-O10</f>
        <v>1281.3450770267646</v>
      </c>
      <c r="Q10" s="11">
        <f>Q9-P10</f>
        <v>395077.47376502556</v>
      </c>
      <c r="S10" s="92">
        <f aca="true" t="shared" si="7" ref="S10:S21">IF(O10&gt;0,L10,"")</f>
        <v>2</v>
      </c>
    </row>
    <row r="11" spans="2:19" ht="12.75">
      <c r="B11" s="9">
        <v>3</v>
      </c>
      <c r="C11" s="9" t="s">
        <v>29</v>
      </c>
      <c r="D11" s="10">
        <f t="shared" si="1"/>
        <v>2107.09261628104</v>
      </c>
      <c r="E11" s="10">
        <f t="shared" si="2"/>
        <v>823.0780703438032</v>
      </c>
      <c r="F11" s="10">
        <f t="shared" si="3"/>
        <v>1284.014545937237</v>
      </c>
      <c r="G11" s="11">
        <f>G10-F11-H11</f>
        <v>393793.4592190883</v>
      </c>
      <c r="H11" s="9"/>
      <c r="I11" s="92">
        <f t="shared" si="0"/>
        <v>3</v>
      </c>
      <c r="L11" s="9">
        <v>3</v>
      </c>
      <c r="M11" s="9" t="s">
        <v>29</v>
      </c>
      <c r="N11" s="10">
        <f t="shared" si="4"/>
        <v>2107.09261628104</v>
      </c>
      <c r="O11" s="10">
        <f t="shared" si="5"/>
        <v>823.0780703438032</v>
      </c>
      <c r="P11" s="10">
        <f t="shared" si="6"/>
        <v>1284.014545937237</v>
      </c>
      <c r="Q11" s="11">
        <f aca="true" t="shared" si="8" ref="Q11:Q74">Q10-P11</f>
        <v>393793.4592190883</v>
      </c>
      <c r="S11" s="92">
        <f t="shared" si="7"/>
        <v>3</v>
      </c>
    </row>
    <row r="12" spans="2:19" ht="12.75">
      <c r="B12" s="9">
        <v>4</v>
      </c>
      <c r="C12" s="9" t="s">
        <v>30</v>
      </c>
      <c r="D12" s="10">
        <f t="shared" si="1"/>
        <v>2107.09261628104</v>
      </c>
      <c r="E12" s="10">
        <f t="shared" si="2"/>
        <v>820.4030400397673</v>
      </c>
      <c r="F12" s="10">
        <f t="shared" si="3"/>
        <v>1286.6895762412728</v>
      </c>
      <c r="G12" s="11">
        <f aca="true" t="shared" si="9" ref="G12:G75">G11-F12-H12</f>
        <v>392506.76964284707</v>
      </c>
      <c r="H12" s="9"/>
      <c r="I12" s="92">
        <f t="shared" si="0"/>
        <v>4</v>
      </c>
      <c r="L12" s="9">
        <v>4</v>
      </c>
      <c r="M12" s="9" t="s">
        <v>30</v>
      </c>
      <c r="N12" s="10">
        <f t="shared" si="4"/>
        <v>2107.09261628104</v>
      </c>
      <c r="O12" s="10">
        <f t="shared" si="5"/>
        <v>820.4030400397673</v>
      </c>
      <c r="P12" s="10">
        <f t="shared" si="6"/>
        <v>1286.6895762412728</v>
      </c>
      <c r="Q12" s="11">
        <f t="shared" si="8"/>
        <v>392506.76964284707</v>
      </c>
      <c r="S12" s="92">
        <f t="shared" si="7"/>
        <v>4</v>
      </c>
    </row>
    <row r="13" spans="2:19" ht="12.75">
      <c r="B13" s="9">
        <v>5</v>
      </c>
      <c r="C13" s="9" t="s">
        <v>31</v>
      </c>
      <c r="D13" s="10">
        <f t="shared" si="1"/>
        <v>2107.09261628104</v>
      </c>
      <c r="E13" s="10">
        <f t="shared" si="2"/>
        <v>817.7224367559314</v>
      </c>
      <c r="F13" s="10">
        <f t="shared" si="3"/>
        <v>1289.3701795251086</v>
      </c>
      <c r="G13" s="11">
        <f t="shared" si="9"/>
        <v>391217.39946332196</v>
      </c>
      <c r="H13" s="9"/>
      <c r="I13" s="92">
        <f t="shared" si="0"/>
        <v>5</v>
      </c>
      <c r="L13" s="9">
        <v>5</v>
      </c>
      <c r="M13" s="9" t="s">
        <v>31</v>
      </c>
      <c r="N13" s="10">
        <f t="shared" si="4"/>
        <v>2107.09261628104</v>
      </c>
      <c r="O13" s="10">
        <f t="shared" si="5"/>
        <v>817.7224367559314</v>
      </c>
      <c r="P13" s="10">
        <f t="shared" si="6"/>
        <v>1289.3701795251086</v>
      </c>
      <c r="Q13" s="11">
        <f t="shared" si="8"/>
        <v>391217.39946332196</v>
      </c>
      <c r="S13" s="92">
        <f t="shared" si="7"/>
        <v>5</v>
      </c>
    </row>
    <row r="14" spans="2:19" ht="12.75">
      <c r="B14" s="9">
        <v>6</v>
      </c>
      <c r="C14" s="9" t="s">
        <v>32</v>
      </c>
      <c r="D14" s="10">
        <f t="shared" si="1"/>
        <v>2107.09261628104</v>
      </c>
      <c r="E14" s="10">
        <f t="shared" si="2"/>
        <v>815.0362488819206</v>
      </c>
      <c r="F14" s="10">
        <f t="shared" si="3"/>
        <v>1292.0563673991196</v>
      </c>
      <c r="G14" s="11">
        <f t="shared" si="9"/>
        <v>389925.34309592284</v>
      </c>
      <c r="H14" s="9"/>
      <c r="I14" s="92">
        <f t="shared" si="0"/>
        <v>6</v>
      </c>
      <c r="L14" s="9">
        <v>6</v>
      </c>
      <c r="M14" s="9" t="s">
        <v>32</v>
      </c>
      <c r="N14" s="10">
        <f t="shared" si="4"/>
        <v>2107.09261628104</v>
      </c>
      <c r="O14" s="10">
        <f t="shared" si="5"/>
        <v>815.0362488819206</v>
      </c>
      <c r="P14" s="10">
        <f t="shared" si="6"/>
        <v>1292.0563673991196</v>
      </c>
      <c r="Q14" s="11">
        <f t="shared" si="8"/>
        <v>389925.34309592284</v>
      </c>
      <c r="S14" s="92">
        <f t="shared" si="7"/>
        <v>6</v>
      </c>
    </row>
    <row r="15" spans="2:19" ht="12.75">
      <c r="B15" s="9">
        <v>7</v>
      </c>
      <c r="C15" s="9" t="s">
        <v>33</v>
      </c>
      <c r="D15" s="10">
        <f t="shared" si="1"/>
        <v>2107.09261628104</v>
      </c>
      <c r="E15" s="10">
        <f t="shared" si="2"/>
        <v>812.3444647831726</v>
      </c>
      <c r="F15" s="10">
        <f t="shared" si="3"/>
        <v>1294.7481514978676</v>
      </c>
      <c r="G15" s="11">
        <f t="shared" si="9"/>
        <v>388630.594944425</v>
      </c>
      <c r="H15" s="9"/>
      <c r="I15" s="92">
        <f t="shared" si="0"/>
        <v>7</v>
      </c>
      <c r="L15" s="9">
        <v>7</v>
      </c>
      <c r="M15" s="9" t="s">
        <v>33</v>
      </c>
      <c r="N15" s="10">
        <f t="shared" si="4"/>
        <v>2107.09261628104</v>
      </c>
      <c r="O15" s="10">
        <f t="shared" si="5"/>
        <v>812.3444647831726</v>
      </c>
      <c r="P15" s="10">
        <f t="shared" si="6"/>
        <v>1294.7481514978676</v>
      </c>
      <c r="Q15" s="11">
        <f t="shared" si="8"/>
        <v>388630.594944425</v>
      </c>
      <c r="S15" s="92">
        <f t="shared" si="7"/>
        <v>7</v>
      </c>
    </row>
    <row r="16" spans="2:19" ht="12.75">
      <c r="B16" s="9">
        <v>8</v>
      </c>
      <c r="C16" s="9" t="s">
        <v>34</v>
      </c>
      <c r="D16" s="10">
        <f t="shared" si="1"/>
        <v>2107.09261628104</v>
      </c>
      <c r="E16" s="10">
        <f t="shared" si="2"/>
        <v>809.6470728008854</v>
      </c>
      <c r="F16" s="10">
        <f t="shared" si="3"/>
        <v>1297.4455434801548</v>
      </c>
      <c r="G16" s="11">
        <f t="shared" si="9"/>
        <v>387333.1494009448</v>
      </c>
      <c r="H16" s="9"/>
      <c r="I16" s="92">
        <f t="shared" si="0"/>
        <v>8</v>
      </c>
      <c r="L16" s="9">
        <v>8</v>
      </c>
      <c r="M16" s="9" t="s">
        <v>34</v>
      </c>
      <c r="N16" s="10">
        <f t="shared" si="4"/>
        <v>2107.09261628104</v>
      </c>
      <c r="O16" s="10">
        <f t="shared" si="5"/>
        <v>809.6470728008854</v>
      </c>
      <c r="P16" s="10">
        <f t="shared" si="6"/>
        <v>1297.4455434801548</v>
      </c>
      <c r="Q16" s="11">
        <f t="shared" si="8"/>
        <v>387333.1494009448</v>
      </c>
      <c r="S16" s="92">
        <f t="shared" si="7"/>
        <v>8</v>
      </c>
    </row>
    <row r="17" spans="2:19" ht="12.75">
      <c r="B17" s="9">
        <v>9</v>
      </c>
      <c r="C17" s="9" t="s">
        <v>35</v>
      </c>
      <c r="D17" s="10">
        <f t="shared" si="1"/>
        <v>2107.09261628104</v>
      </c>
      <c r="E17" s="10">
        <f t="shared" si="2"/>
        <v>806.9440612519684</v>
      </c>
      <c r="F17" s="10">
        <f t="shared" si="3"/>
        <v>1300.1485550290718</v>
      </c>
      <c r="G17" s="11">
        <f t="shared" si="9"/>
        <v>386033.00084591575</v>
      </c>
      <c r="H17" s="9"/>
      <c r="I17" s="92">
        <f t="shared" si="0"/>
        <v>9</v>
      </c>
      <c r="L17" s="9">
        <v>9</v>
      </c>
      <c r="M17" s="9" t="s">
        <v>35</v>
      </c>
      <c r="N17" s="10">
        <f t="shared" si="4"/>
        <v>2107.09261628104</v>
      </c>
      <c r="O17" s="10">
        <f t="shared" si="5"/>
        <v>806.9440612519684</v>
      </c>
      <c r="P17" s="10">
        <f t="shared" si="6"/>
        <v>1300.1485550290718</v>
      </c>
      <c r="Q17" s="11">
        <f t="shared" si="8"/>
        <v>386033.00084591575</v>
      </c>
      <c r="S17" s="92">
        <f t="shared" si="7"/>
        <v>9</v>
      </c>
    </row>
    <row r="18" spans="2:19" ht="12.75">
      <c r="B18" s="9">
        <v>10</v>
      </c>
      <c r="C18" s="9" t="s">
        <v>36</v>
      </c>
      <c r="D18" s="10">
        <f t="shared" si="1"/>
        <v>2107.09261628104</v>
      </c>
      <c r="E18" s="10">
        <f t="shared" si="2"/>
        <v>804.2354184289911</v>
      </c>
      <c r="F18" s="10">
        <f t="shared" si="3"/>
        <v>1302.857197852049</v>
      </c>
      <c r="G18" s="11">
        <f t="shared" si="9"/>
        <v>384730.1436480637</v>
      </c>
      <c r="H18" s="9"/>
      <c r="I18" s="92">
        <f t="shared" si="0"/>
        <v>10</v>
      </c>
      <c r="L18" s="9">
        <v>10</v>
      </c>
      <c r="M18" s="9" t="s">
        <v>36</v>
      </c>
      <c r="N18" s="10">
        <f t="shared" si="4"/>
        <v>2107.09261628104</v>
      </c>
      <c r="O18" s="10">
        <f t="shared" si="5"/>
        <v>804.2354184289911</v>
      </c>
      <c r="P18" s="10">
        <f t="shared" si="6"/>
        <v>1302.857197852049</v>
      </c>
      <c r="Q18" s="11">
        <f t="shared" si="8"/>
        <v>384730.1436480637</v>
      </c>
      <c r="S18" s="92">
        <f t="shared" si="7"/>
        <v>10</v>
      </c>
    </row>
    <row r="19" spans="2:19" ht="12.75">
      <c r="B19" s="9">
        <v>11</v>
      </c>
      <c r="C19" s="9" t="s">
        <v>37</v>
      </c>
      <c r="D19" s="10">
        <f t="shared" si="1"/>
        <v>2107.09261628104</v>
      </c>
      <c r="E19" s="10">
        <f t="shared" si="2"/>
        <v>801.5211326001328</v>
      </c>
      <c r="F19" s="10">
        <f t="shared" si="3"/>
        <v>1305.5714836809075</v>
      </c>
      <c r="G19" s="11">
        <f t="shared" si="9"/>
        <v>383424.5721643828</v>
      </c>
      <c r="H19" s="9"/>
      <c r="I19" s="92">
        <f t="shared" si="0"/>
        <v>11</v>
      </c>
      <c r="L19" s="9">
        <v>11</v>
      </c>
      <c r="M19" s="9" t="s">
        <v>37</v>
      </c>
      <c r="N19" s="10">
        <f t="shared" si="4"/>
        <v>2107.09261628104</v>
      </c>
      <c r="O19" s="10">
        <f t="shared" si="5"/>
        <v>801.5211326001328</v>
      </c>
      <c r="P19" s="10">
        <f t="shared" si="6"/>
        <v>1305.5714836809075</v>
      </c>
      <c r="Q19" s="11">
        <f t="shared" si="8"/>
        <v>383424.5721643828</v>
      </c>
      <c r="S19" s="92">
        <f t="shared" si="7"/>
        <v>11</v>
      </c>
    </row>
    <row r="20" spans="2:19" ht="12.75">
      <c r="B20" s="9">
        <v>12</v>
      </c>
      <c r="C20" s="9" t="s">
        <v>38</v>
      </c>
      <c r="D20" s="10">
        <f t="shared" si="1"/>
        <v>2107.09261628104</v>
      </c>
      <c r="E20" s="10">
        <f t="shared" si="2"/>
        <v>798.8011920091308</v>
      </c>
      <c r="F20" s="10">
        <f t="shared" si="3"/>
        <v>1308.2914242719094</v>
      </c>
      <c r="G20" s="11">
        <f t="shared" si="9"/>
        <v>382116.2807401109</v>
      </c>
      <c r="H20" s="9"/>
      <c r="I20" s="92">
        <f t="shared" si="0"/>
        <v>12</v>
      </c>
      <c r="L20" s="9">
        <v>12</v>
      </c>
      <c r="M20" s="9" t="s">
        <v>38</v>
      </c>
      <c r="N20" s="10">
        <f t="shared" si="4"/>
        <v>2107.09261628104</v>
      </c>
      <c r="O20" s="10">
        <f t="shared" si="5"/>
        <v>798.8011920091308</v>
      </c>
      <c r="P20" s="10">
        <f t="shared" si="6"/>
        <v>1308.2914242719094</v>
      </c>
      <c r="Q20" s="11">
        <f t="shared" si="8"/>
        <v>382116.2807401109</v>
      </c>
      <c r="S20" s="92">
        <f t="shared" si="7"/>
        <v>12</v>
      </c>
    </row>
    <row r="21" spans="2:21" ht="12.75">
      <c r="B21" s="84">
        <v>13</v>
      </c>
      <c r="C21" s="84" t="s">
        <v>27</v>
      </c>
      <c r="D21" s="85">
        <f t="shared" si="1"/>
        <v>2107.09261628104</v>
      </c>
      <c r="E21" s="85">
        <f t="shared" si="2"/>
        <v>796.075584875231</v>
      </c>
      <c r="F21" s="85">
        <f t="shared" si="3"/>
        <v>1311.0170314058091</v>
      </c>
      <c r="G21" s="86">
        <f t="shared" si="9"/>
        <v>380285.8760322345</v>
      </c>
      <c r="H21" s="68">
        <f>IF((G20-F21)&gt;Energie!S9,Energie!S9,(G20-F21))</f>
        <v>519.3876764705883</v>
      </c>
      <c r="I21" s="92">
        <f t="shared" si="0"/>
        <v>13</v>
      </c>
      <c r="K21">
        <v>1</v>
      </c>
      <c r="L21" s="84">
        <v>13</v>
      </c>
      <c r="M21" s="84" t="s">
        <v>27</v>
      </c>
      <c r="N21" s="85">
        <f t="shared" si="4"/>
        <v>2107.09261628104</v>
      </c>
      <c r="O21" s="85">
        <f t="shared" si="5"/>
        <v>796.075584875231</v>
      </c>
      <c r="P21" s="85">
        <f t="shared" si="6"/>
        <v>1311.0170314058091</v>
      </c>
      <c r="Q21" s="86">
        <f t="shared" si="8"/>
        <v>380805.2637087051</v>
      </c>
      <c r="S21" s="92">
        <f t="shared" si="7"/>
        <v>13</v>
      </c>
      <c r="T21" s="128">
        <f>SUM(N9:N20)</f>
        <v>25285.111395372474</v>
      </c>
      <c r="U21" s="128">
        <f>(SUM(N9:N20))</f>
        <v>25285.111395372474</v>
      </c>
    </row>
    <row r="22" spans="2:19" ht="12.75">
      <c r="B22" s="9">
        <v>14</v>
      </c>
      <c r="C22" s="9" t="s">
        <v>28</v>
      </c>
      <c r="D22" s="10">
        <f t="shared" si="1"/>
        <v>2107.09261628104</v>
      </c>
      <c r="E22" s="10">
        <f t="shared" si="2"/>
        <v>792.262241733822</v>
      </c>
      <c r="F22" s="10">
        <f t="shared" si="3"/>
        <v>1314.830374547218</v>
      </c>
      <c r="G22" s="11">
        <f t="shared" si="9"/>
        <v>378971.0456576873</v>
      </c>
      <c r="H22" s="9"/>
      <c r="I22" s="92">
        <f t="shared" si="0"/>
        <v>14</v>
      </c>
      <c r="L22" s="9">
        <v>14</v>
      </c>
      <c r="M22" s="9" t="s">
        <v>28</v>
      </c>
      <c r="N22" s="10">
        <f t="shared" si="4"/>
        <v>2107.09261628104</v>
      </c>
      <c r="O22" s="10">
        <f t="shared" si="5"/>
        <v>793.3442993931357</v>
      </c>
      <c r="P22" s="10">
        <f t="shared" si="6"/>
        <v>1313.7483168879044</v>
      </c>
      <c r="Q22" s="11">
        <f t="shared" si="8"/>
        <v>379491.5153918172</v>
      </c>
      <c r="S22" s="92">
        <f aca="true" t="shared" si="10" ref="S22:S42">IF(O22&gt;0,L22,"")</f>
        <v>14</v>
      </c>
    </row>
    <row r="23" spans="2:19" ht="12.75">
      <c r="B23" s="9">
        <v>15</v>
      </c>
      <c r="C23" s="9" t="s">
        <v>29</v>
      </c>
      <c r="D23" s="10">
        <f t="shared" si="1"/>
        <v>2107.09261628104</v>
      </c>
      <c r="E23" s="10">
        <f t="shared" si="2"/>
        <v>789.5230117868487</v>
      </c>
      <c r="F23" s="10">
        <f t="shared" si="3"/>
        <v>1317.5696044941915</v>
      </c>
      <c r="G23" s="11">
        <f t="shared" si="9"/>
        <v>377653.4760531931</v>
      </c>
      <c r="H23" s="9"/>
      <c r="I23" s="92">
        <f t="shared" si="0"/>
        <v>15</v>
      </c>
      <c r="L23" s="9">
        <v>15</v>
      </c>
      <c r="M23" s="9" t="s">
        <v>29</v>
      </c>
      <c r="N23" s="10">
        <f t="shared" si="4"/>
        <v>2107.09261628104</v>
      </c>
      <c r="O23" s="10">
        <f t="shared" si="5"/>
        <v>790.6073237329525</v>
      </c>
      <c r="P23" s="10">
        <f t="shared" si="6"/>
        <v>1316.4852925480877</v>
      </c>
      <c r="Q23" s="11">
        <f t="shared" si="8"/>
        <v>378175.0300992691</v>
      </c>
      <c r="S23" s="92">
        <f t="shared" si="10"/>
        <v>15</v>
      </c>
    </row>
    <row r="24" spans="2:19" ht="12.75">
      <c r="B24" s="9">
        <v>16</v>
      </c>
      <c r="C24" s="9" t="s">
        <v>30</v>
      </c>
      <c r="D24" s="10">
        <f t="shared" si="1"/>
        <v>2107.09261628104</v>
      </c>
      <c r="E24" s="10">
        <f t="shared" si="2"/>
        <v>786.778075110819</v>
      </c>
      <c r="F24" s="10">
        <f t="shared" si="3"/>
        <v>1320.3145411702212</v>
      </c>
      <c r="G24" s="11">
        <f t="shared" si="9"/>
        <v>376333.1615120229</v>
      </c>
      <c r="H24" s="9"/>
      <c r="I24" s="92">
        <f t="shared" si="0"/>
        <v>16</v>
      </c>
      <c r="L24" s="9">
        <v>16</v>
      </c>
      <c r="M24" s="9" t="s">
        <v>30</v>
      </c>
      <c r="N24" s="10">
        <f t="shared" si="4"/>
        <v>2107.09261628104</v>
      </c>
      <c r="O24" s="10">
        <f t="shared" si="5"/>
        <v>787.8646460401441</v>
      </c>
      <c r="P24" s="10">
        <f t="shared" si="6"/>
        <v>1319.227970240896</v>
      </c>
      <c r="Q24" s="11">
        <f t="shared" si="8"/>
        <v>376855.80212902825</v>
      </c>
      <c r="S24" s="92">
        <f t="shared" si="10"/>
        <v>16</v>
      </c>
    </row>
    <row r="25" spans="2:19" ht="12.75">
      <c r="B25" s="9">
        <v>17</v>
      </c>
      <c r="C25" s="9" t="s">
        <v>31</v>
      </c>
      <c r="D25" s="10">
        <f t="shared" si="1"/>
        <v>2107.09261628104</v>
      </c>
      <c r="E25" s="10">
        <f t="shared" si="2"/>
        <v>784.0274198167144</v>
      </c>
      <c r="F25" s="10">
        <f t="shared" si="3"/>
        <v>1323.0651964643257</v>
      </c>
      <c r="G25" s="11">
        <f t="shared" si="9"/>
        <v>375010.0963155586</v>
      </c>
      <c r="H25" s="9"/>
      <c r="I25" s="92">
        <f t="shared" si="0"/>
        <v>17</v>
      </c>
      <c r="L25" s="9">
        <v>17</v>
      </c>
      <c r="M25" s="9" t="s">
        <v>31</v>
      </c>
      <c r="N25" s="10">
        <f t="shared" si="4"/>
        <v>2107.09261628104</v>
      </c>
      <c r="O25" s="10">
        <f t="shared" si="5"/>
        <v>785.1162544354755</v>
      </c>
      <c r="P25" s="10">
        <f t="shared" si="6"/>
        <v>1321.9763618455645</v>
      </c>
      <c r="Q25" s="11">
        <f t="shared" si="8"/>
        <v>375533.8257671827</v>
      </c>
      <c r="S25" s="92">
        <f t="shared" si="10"/>
        <v>17</v>
      </c>
    </row>
    <row r="26" spans="2:19" ht="12.75">
      <c r="B26" s="9">
        <v>18</v>
      </c>
      <c r="C26" s="9" t="s">
        <v>32</v>
      </c>
      <c r="D26" s="10">
        <f t="shared" si="1"/>
        <v>2107.09261628104</v>
      </c>
      <c r="E26" s="10">
        <f t="shared" si="2"/>
        <v>781.271033990747</v>
      </c>
      <c r="F26" s="10">
        <f t="shared" si="3"/>
        <v>1325.821582290293</v>
      </c>
      <c r="G26" s="11">
        <f t="shared" si="9"/>
        <v>373684.2747332683</v>
      </c>
      <c r="H26" s="9"/>
      <c r="I26" s="92">
        <f t="shared" si="0"/>
        <v>18</v>
      </c>
      <c r="L26" s="9">
        <v>18</v>
      </c>
      <c r="M26" s="9" t="s">
        <v>32</v>
      </c>
      <c r="N26" s="10">
        <f t="shared" si="4"/>
        <v>2107.09261628104</v>
      </c>
      <c r="O26" s="10">
        <f t="shared" si="5"/>
        <v>782.362137014964</v>
      </c>
      <c r="P26" s="10">
        <f t="shared" si="6"/>
        <v>1324.7304792660761</v>
      </c>
      <c r="Q26" s="11">
        <f t="shared" si="8"/>
        <v>374209.0952879166</v>
      </c>
      <c r="S26" s="92">
        <f t="shared" si="10"/>
        <v>18</v>
      </c>
    </row>
    <row r="27" spans="2:19" ht="12.75">
      <c r="B27" s="9">
        <v>19</v>
      </c>
      <c r="C27" s="9" t="s">
        <v>33</v>
      </c>
      <c r="D27" s="10">
        <f t="shared" si="1"/>
        <v>2107.09261628104</v>
      </c>
      <c r="E27" s="10">
        <f t="shared" si="2"/>
        <v>778.5089056943089</v>
      </c>
      <c r="F27" s="10">
        <f t="shared" si="3"/>
        <v>1328.5837105867313</v>
      </c>
      <c r="G27" s="11">
        <f t="shared" si="9"/>
        <v>372355.6910226816</v>
      </c>
      <c r="H27" s="9"/>
      <c r="I27" s="92">
        <f t="shared" si="0"/>
        <v>19</v>
      </c>
      <c r="L27" s="9">
        <v>19</v>
      </c>
      <c r="M27" s="9" t="s">
        <v>33</v>
      </c>
      <c r="N27" s="10">
        <f t="shared" si="4"/>
        <v>2107.09261628104</v>
      </c>
      <c r="O27" s="10">
        <f t="shared" si="5"/>
        <v>779.6022818498262</v>
      </c>
      <c r="P27" s="10">
        <f t="shared" si="6"/>
        <v>1327.4903344312138</v>
      </c>
      <c r="Q27" s="11">
        <f t="shared" si="8"/>
        <v>372881.60495348537</v>
      </c>
      <c r="S27" s="92">
        <f t="shared" si="10"/>
        <v>19</v>
      </c>
    </row>
    <row r="28" spans="2:19" ht="12.75">
      <c r="B28" s="9">
        <v>20</v>
      </c>
      <c r="C28" s="9" t="s">
        <v>34</v>
      </c>
      <c r="D28" s="10">
        <f t="shared" si="1"/>
        <v>2107.09261628104</v>
      </c>
      <c r="E28" s="10">
        <f t="shared" si="2"/>
        <v>775.7410229639199</v>
      </c>
      <c r="F28" s="10">
        <f t="shared" si="3"/>
        <v>1331.3515933171202</v>
      </c>
      <c r="G28" s="11">
        <f t="shared" si="9"/>
        <v>371024.3394293645</v>
      </c>
      <c r="H28" s="9"/>
      <c r="I28" s="92">
        <f t="shared" si="0"/>
        <v>20</v>
      </c>
      <c r="L28" s="9">
        <v>20</v>
      </c>
      <c r="M28" s="9" t="s">
        <v>34</v>
      </c>
      <c r="N28" s="10">
        <f t="shared" si="4"/>
        <v>2107.09261628104</v>
      </c>
      <c r="O28" s="10">
        <f t="shared" si="5"/>
        <v>776.8366769864278</v>
      </c>
      <c r="P28" s="10">
        <f t="shared" si="6"/>
        <v>1330.2559392946123</v>
      </c>
      <c r="Q28" s="11">
        <f t="shared" si="8"/>
        <v>371551.3490141908</v>
      </c>
      <c r="S28" s="92">
        <f t="shared" si="10"/>
        <v>20</v>
      </c>
    </row>
    <row r="29" spans="2:19" ht="12.75">
      <c r="B29" s="9">
        <v>21</v>
      </c>
      <c r="C29" s="9" t="s">
        <v>35</v>
      </c>
      <c r="D29" s="10">
        <f t="shared" si="1"/>
        <v>2107.09261628104</v>
      </c>
      <c r="E29" s="10">
        <f t="shared" si="2"/>
        <v>772.967373811176</v>
      </c>
      <c r="F29" s="10">
        <f t="shared" si="3"/>
        <v>1334.1252424698641</v>
      </c>
      <c r="G29" s="11">
        <f t="shared" si="9"/>
        <v>369690.2141868946</v>
      </c>
      <c r="H29" s="9"/>
      <c r="I29" s="92">
        <f t="shared" si="0"/>
        <v>21</v>
      </c>
      <c r="L29" s="9">
        <v>21</v>
      </c>
      <c r="M29" s="9" t="s">
        <v>35</v>
      </c>
      <c r="N29" s="10">
        <f t="shared" si="4"/>
        <v>2107.09261628104</v>
      </c>
      <c r="O29" s="10">
        <f t="shared" si="5"/>
        <v>774.0653104462308</v>
      </c>
      <c r="P29" s="10">
        <f t="shared" si="6"/>
        <v>1333.0273058348093</v>
      </c>
      <c r="Q29" s="11">
        <f t="shared" si="8"/>
        <v>370218.321708356</v>
      </c>
      <c r="S29" s="92">
        <f t="shared" si="10"/>
        <v>21</v>
      </c>
    </row>
    <row r="30" spans="2:19" ht="12.75">
      <c r="B30" s="9">
        <v>22</v>
      </c>
      <c r="C30" s="9" t="s">
        <v>36</v>
      </c>
      <c r="D30" s="10">
        <f t="shared" si="1"/>
        <v>2107.09261628104</v>
      </c>
      <c r="E30" s="10">
        <f t="shared" si="2"/>
        <v>770.1879462226971</v>
      </c>
      <c r="F30" s="10">
        <f t="shared" si="3"/>
        <v>1336.904670058343</v>
      </c>
      <c r="G30" s="11">
        <f t="shared" si="9"/>
        <v>368353.30951683625</v>
      </c>
      <c r="H30" s="9"/>
      <c r="I30" s="92">
        <f t="shared" si="0"/>
        <v>22</v>
      </c>
      <c r="L30" s="9">
        <v>22</v>
      </c>
      <c r="M30" s="9" t="s">
        <v>36</v>
      </c>
      <c r="N30" s="10">
        <f t="shared" si="4"/>
        <v>2107.09261628104</v>
      </c>
      <c r="O30" s="10">
        <f t="shared" si="5"/>
        <v>771.2881702257415</v>
      </c>
      <c r="P30" s="10">
        <f t="shared" si="6"/>
        <v>1335.8044460552987</v>
      </c>
      <c r="Q30" s="11">
        <f t="shared" si="8"/>
        <v>368882.51726230065</v>
      </c>
      <c r="S30" s="92">
        <f t="shared" si="10"/>
        <v>22</v>
      </c>
    </row>
    <row r="31" spans="2:19" ht="12.75">
      <c r="B31" s="9">
        <v>23</v>
      </c>
      <c r="C31" s="9" t="s">
        <v>37</v>
      </c>
      <c r="D31" s="10">
        <f t="shared" si="1"/>
        <v>2107.09261628104</v>
      </c>
      <c r="E31" s="10">
        <f t="shared" si="2"/>
        <v>767.4027281600756</v>
      </c>
      <c r="F31" s="10">
        <f t="shared" si="3"/>
        <v>1339.6898881209645</v>
      </c>
      <c r="G31" s="11">
        <f t="shared" si="9"/>
        <v>367013.61962871527</v>
      </c>
      <c r="H31" s="9"/>
      <c r="I31" s="92">
        <f t="shared" si="0"/>
        <v>23</v>
      </c>
      <c r="L31" s="9">
        <v>23</v>
      </c>
      <c r="M31" s="9" t="s">
        <v>37</v>
      </c>
      <c r="N31" s="10">
        <f t="shared" si="4"/>
        <v>2107.09261628104</v>
      </c>
      <c r="O31" s="10">
        <f t="shared" si="5"/>
        <v>768.5052442964598</v>
      </c>
      <c r="P31" s="10">
        <f t="shared" si="6"/>
        <v>1338.5873719845804</v>
      </c>
      <c r="Q31" s="11">
        <f t="shared" si="8"/>
        <v>367543.9298903161</v>
      </c>
      <c r="S31" s="92">
        <f t="shared" si="10"/>
        <v>23</v>
      </c>
    </row>
    <row r="32" spans="2:19" ht="12.75">
      <c r="B32" s="9">
        <v>24</v>
      </c>
      <c r="C32" s="9" t="s">
        <v>38</v>
      </c>
      <c r="D32" s="10">
        <f t="shared" si="1"/>
        <v>2107.09261628104</v>
      </c>
      <c r="E32" s="10">
        <f t="shared" si="2"/>
        <v>764.6117075598236</v>
      </c>
      <c r="F32" s="10">
        <f t="shared" si="3"/>
        <v>1342.4809087212166</v>
      </c>
      <c r="G32" s="11">
        <f t="shared" si="9"/>
        <v>365671.13871999405</v>
      </c>
      <c r="H32" s="9"/>
      <c r="I32" s="92">
        <f t="shared" si="0"/>
        <v>24</v>
      </c>
      <c r="L32" s="9">
        <v>24</v>
      </c>
      <c r="M32" s="9" t="s">
        <v>38</v>
      </c>
      <c r="N32" s="10">
        <f t="shared" si="4"/>
        <v>2107.09261628104</v>
      </c>
      <c r="O32" s="10">
        <f t="shared" si="5"/>
        <v>765.7165206048252</v>
      </c>
      <c r="P32" s="10">
        <f t="shared" si="6"/>
        <v>1341.3760956762148</v>
      </c>
      <c r="Q32" s="11">
        <f t="shared" si="8"/>
        <v>366202.5537946399</v>
      </c>
      <c r="S32" s="92">
        <f t="shared" si="10"/>
        <v>24</v>
      </c>
    </row>
    <row r="33" spans="2:21" ht="12.75">
      <c r="B33" s="84">
        <v>25</v>
      </c>
      <c r="C33" s="84" t="s">
        <v>27</v>
      </c>
      <c r="D33" s="85">
        <f t="shared" si="1"/>
        <v>2107.09261628104</v>
      </c>
      <c r="E33" s="85">
        <f t="shared" si="2"/>
        <v>761.814872333321</v>
      </c>
      <c r="F33" s="85">
        <f t="shared" si="3"/>
        <v>1345.277743947719</v>
      </c>
      <c r="G33" s="86">
        <f t="shared" si="9"/>
        <v>363778.22891575226</v>
      </c>
      <c r="H33" s="68">
        <f>IF((G32-F33)&gt;Energie!S10,Energie!S10,(G32-F33))</f>
        <v>547.6320602941177</v>
      </c>
      <c r="I33" s="92">
        <f t="shared" si="0"/>
        <v>25</v>
      </c>
      <c r="K33">
        <v>2</v>
      </c>
      <c r="L33" s="84">
        <v>25</v>
      </c>
      <c r="M33" s="84" t="s">
        <v>27</v>
      </c>
      <c r="N33" s="85">
        <f t="shared" si="4"/>
        <v>2107.09261628104</v>
      </c>
      <c r="O33" s="85">
        <f t="shared" si="5"/>
        <v>762.9219870721664</v>
      </c>
      <c r="P33" s="85">
        <f t="shared" si="6"/>
        <v>1344.1706292088738</v>
      </c>
      <c r="Q33" s="86">
        <f t="shared" si="8"/>
        <v>364858.38316543103</v>
      </c>
      <c r="S33" s="92">
        <f t="shared" si="10"/>
        <v>25</v>
      </c>
      <c r="T33" s="128">
        <f>SUM(N21:N32)</f>
        <v>25285.111395372474</v>
      </c>
      <c r="U33" s="128">
        <f>(SUM(N21:N32)+U21)</f>
        <v>50570.22279074495</v>
      </c>
    </row>
    <row r="34" spans="2:19" ht="12.75">
      <c r="B34" s="9">
        <v>26</v>
      </c>
      <c r="C34" s="9" t="s">
        <v>28</v>
      </c>
      <c r="D34" s="10">
        <f t="shared" si="1"/>
        <v>2107.09261628104</v>
      </c>
      <c r="E34" s="10">
        <f t="shared" si="2"/>
        <v>757.8713102411506</v>
      </c>
      <c r="F34" s="10">
        <f t="shared" si="3"/>
        <v>1349.2213060398894</v>
      </c>
      <c r="G34" s="11">
        <f t="shared" si="9"/>
        <v>362429.00760971237</v>
      </c>
      <c r="H34" s="9"/>
      <c r="I34" s="92">
        <f t="shared" si="0"/>
        <v>26</v>
      </c>
      <c r="L34" s="9">
        <v>26</v>
      </c>
      <c r="M34" s="9" t="s">
        <v>28</v>
      </c>
      <c r="N34" s="10">
        <f t="shared" si="4"/>
        <v>2107.09261628104</v>
      </c>
      <c r="O34" s="10">
        <f t="shared" si="5"/>
        <v>760.121631594648</v>
      </c>
      <c r="P34" s="10">
        <f t="shared" si="6"/>
        <v>1346.970984686392</v>
      </c>
      <c r="Q34" s="11">
        <f t="shared" si="8"/>
        <v>363511.41218074464</v>
      </c>
      <c r="S34" s="92">
        <f t="shared" si="10"/>
        <v>26</v>
      </c>
    </row>
    <row r="35" spans="2:19" ht="12.75">
      <c r="B35" s="9">
        <v>27</v>
      </c>
      <c r="C35" s="9" t="s">
        <v>29</v>
      </c>
      <c r="D35" s="10">
        <f t="shared" si="1"/>
        <v>2107.09261628104</v>
      </c>
      <c r="E35" s="10">
        <f t="shared" si="2"/>
        <v>755.060432520234</v>
      </c>
      <c r="F35" s="10">
        <f t="shared" si="3"/>
        <v>1352.0321837608062</v>
      </c>
      <c r="G35" s="11">
        <f t="shared" si="9"/>
        <v>361076.97542595153</v>
      </c>
      <c r="H35" s="9"/>
      <c r="I35" s="92">
        <f t="shared" si="0"/>
        <v>27</v>
      </c>
      <c r="L35" s="9">
        <v>27</v>
      </c>
      <c r="M35" s="9" t="s">
        <v>29</v>
      </c>
      <c r="N35" s="10">
        <f t="shared" si="4"/>
        <v>2107.09261628104</v>
      </c>
      <c r="O35" s="10">
        <f t="shared" si="5"/>
        <v>757.315442043218</v>
      </c>
      <c r="P35" s="10">
        <f t="shared" si="6"/>
        <v>1349.7771742378222</v>
      </c>
      <c r="Q35" s="11">
        <f t="shared" si="8"/>
        <v>362161.6350065068</v>
      </c>
      <c r="S35" s="92">
        <f t="shared" si="10"/>
        <v>27</v>
      </c>
    </row>
    <row r="36" spans="2:19" ht="12.75">
      <c r="B36" s="9">
        <v>28</v>
      </c>
      <c r="C36" s="9" t="s">
        <v>30</v>
      </c>
      <c r="D36" s="10">
        <f t="shared" si="1"/>
        <v>2107.09261628104</v>
      </c>
      <c r="E36" s="10">
        <f t="shared" si="2"/>
        <v>752.2436988040657</v>
      </c>
      <c r="F36" s="10">
        <f t="shared" si="3"/>
        <v>1354.8489174769743</v>
      </c>
      <c r="G36" s="11">
        <f t="shared" si="9"/>
        <v>359722.1265084746</v>
      </c>
      <c r="H36" s="9"/>
      <c r="I36" s="92">
        <f t="shared" si="0"/>
        <v>28</v>
      </c>
      <c r="L36" s="9">
        <v>28</v>
      </c>
      <c r="M36" s="9" t="s">
        <v>30</v>
      </c>
      <c r="N36" s="10">
        <f t="shared" si="4"/>
        <v>2107.09261628104</v>
      </c>
      <c r="O36" s="10">
        <f t="shared" si="5"/>
        <v>754.5034062635559</v>
      </c>
      <c r="P36" s="10">
        <f t="shared" si="6"/>
        <v>1352.5892100174842</v>
      </c>
      <c r="Q36" s="11">
        <f t="shared" si="8"/>
        <v>360809.04579648934</v>
      </c>
      <c r="S36" s="92">
        <f t="shared" si="10"/>
        <v>28</v>
      </c>
    </row>
    <row r="37" spans="2:19" ht="12.75">
      <c r="B37" s="9">
        <v>29</v>
      </c>
      <c r="C37" s="9" t="s">
        <v>31</v>
      </c>
      <c r="D37" s="10">
        <f t="shared" si="1"/>
        <v>2107.09261628104</v>
      </c>
      <c r="E37" s="10">
        <f t="shared" si="2"/>
        <v>749.4210968926554</v>
      </c>
      <c r="F37" s="10">
        <f t="shared" si="3"/>
        <v>1357.6715193883847</v>
      </c>
      <c r="G37" s="11">
        <f t="shared" si="9"/>
        <v>358364.4549890862</v>
      </c>
      <c r="H37" s="9"/>
      <c r="I37" s="92">
        <f t="shared" si="0"/>
        <v>29</v>
      </c>
      <c r="L37" s="9">
        <v>29</v>
      </c>
      <c r="M37" s="9" t="s">
        <v>31</v>
      </c>
      <c r="N37" s="10">
        <f t="shared" si="4"/>
        <v>2107.09261628104</v>
      </c>
      <c r="O37" s="10">
        <f t="shared" si="5"/>
        <v>751.6855120760196</v>
      </c>
      <c r="P37" s="10">
        <f t="shared" si="6"/>
        <v>1355.4071042050205</v>
      </c>
      <c r="Q37" s="11">
        <f t="shared" si="8"/>
        <v>359453.6386922843</v>
      </c>
      <c r="S37" s="92">
        <f t="shared" si="10"/>
        <v>29</v>
      </c>
    </row>
    <row r="38" spans="2:19" ht="12.75">
      <c r="B38" s="9">
        <v>30</v>
      </c>
      <c r="C38" s="9" t="s">
        <v>32</v>
      </c>
      <c r="D38" s="10">
        <f t="shared" si="1"/>
        <v>2107.09261628104</v>
      </c>
      <c r="E38" s="10">
        <f t="shared" si="2"/>
        <v>746.5926145605963</v>
      </c>
      <c r="F38" s="10">
        <f t="shared" si="3"/>
        <v>1360.5000017204438</v>
      </c>
      <c r="G38" s="11">
        <f t="shared" si="9"/>
        <v>357003.95498736575</v>
      </c>
      <c r="H38" s="9"/>
      <c r="I38" s="92">
        <f t="shared" si="0"/>
        <v>30</v>
      </c>
      <c r="L38" s="9">
        <v>30</v>
      </c>
      <c r="M38" s="9" t="s">
        <v>32</v>
      </c>
      <c r="N38" s="10">
        <f t="shared" si="4"/>
        <v>2107.09261628104</v>
      </c>
      <c r="O38" s="10">
        <f t="shared" si="5"/>
        <v>748.8617472755923</v>
      </c>
      <c r="P38" s="10">
        <f t="shared" si="6"/>
        <v>1358.2308690054479</v>
      </c>
      <c r="Q38" s="11">
        <f t="shared" si="8"/>
        <v>358095.40782327886</v>
      </c>
      <c r="S38" s="92">
        <f t="shared" si="10"/>
        <v>30</v>
      </c>
    </row>
    <row r="39" spans="2:19" ht="12.75">
      <c r="B39" s="9">
        <v>31</v>
      </c>
      <c r="C39" s="9" t="s">
        <v>33</v>
      </c>
      <c r="D39" s="10">
        <f t="shared" si="1"/>
        <v>2107.09261628104</v>
      </c>
      <c r="E39" s="10">
        <f t="shared" si="2"/>
        <v>743.758239557012</v>
      </c>
      <c r="F39" s="10">
        <f t="shared" si="3"/>
        <v>1363.334376724028</v>
      </c>
      <c r="G39" s="11">
        <f t="shared" si="9"/>
        <v>355640.6206106417</v>
      </c>
      <c r="H39" s="9"/>
      <c r="I39" s="92">
        <f t="shared" si="0"/>
        <v>31</v>
      </c>
      <c r="L39" s="9">
        <v>31</v>
      </c>
      <c r="M39" s="9" t="s">
        <v>33</v>
      </c>
      <c r="N39" s="10">
        <f t="shared" si="4"/>
        <v>2107.09261628104</v>
      </c>
      <c r="O39" s="10">
        <f t="shared" si="5"/>
        <v>746.032099631831</v>
      </c>
      <c r="P39" s="10">
        <f t="shared" si="6"/>
        <v>1361.0605166492091</v>
      </c>
      <c r="Q39" s="11">
        <f t="shared" si="8"/>
        <v>356734.34730662964</v>
      </c>
      <c r="S39" s="92">
        <f t="shared" si="10"/>
        <v>31</v>
      </c>
    </row>
    <row r="40" spans="2:19" ht="12.75">
      <c r="B40" s="9">
        <v>32</v>
      </c>
      <c r="C40" s="9" t="s">
        <v>34</v>
      </c>
      <c r="D40" s="10">
        <f t="shared" si="1"/>
        <v>2107.09261628104</v>
      </c>
      <c r="E40" s="10">
        <f t="shared" si="2"/>
        <v>740.9179596055036</v>
      </c>
      <c r="F40" s="10">
        <f t="shared" si="3"/>
        <v>1366.1746566755364</v>
      </c>
      <c r="G40" s="11">
        <f t="shared" si="9"/>
        <v>354274.4459539662</v>
      </c>
      <c r="H40" s="9"/>
      <c r="I40" s="92">
        <f t="shared" si="0"/>
        <v>32</v>
      </c>
      <c r="L40" s="9">
        <v>32</v>
      </c>
      <c r="M40" s="9" t="s">
        <v>34</v>
      </c>
      <c r="N40" s="10">
        <f t="shared" si="4"/>
        <v>2107.09261628104</v>
      </c>
      <c r="O40" s="10">
        <f t="shared" si="5"/>
        <v>743.1965568888118</v>
      </c>
      <c r="P40" s="10">
        <f t="shared" si="6"/>
        <v>1363.8960593922284</v>
      </c>
      <c r="Q40" s="11">
        <f t="shared" si="8"/>
        <v>355370.4512472374</v>
      </c>
      <c r="S40" s="92">
        <f t="shared" si="10"/>
        <v>32</v>
      </c>
    </row>
    <row r="41" spans="2:19" ht="12.75">
      <c r="B41" s="9">
        <v>33</v>
      </c>
      <c r="C41" s="9" t="s">
        <v>35</v>
      </c>
      <c r="D41" s="10">
        <f t="shared" si="1"/>
        <v>2107.09261628104</v>
      </c>
      <c r="E41" s="10">
        <f t="shared" si="2"/>
        <v>738.0717624040963</v>
      </c>
      <c r="F41" s="10">
        <f t="shared" si="3"/>
        <v>1369.0208538769439</v>
      </c>
      <c r="G41" s="11">
        <f t="shared" si="9"/>
        <v>352905.4251000892</v>
      </c>
      <c r="H41" s="9"/>
      <c r="I41" s="92">
        <f t="shared" si="0"/>
        <v>33</v>
      </c>
      <c r="L41" s="9">
        <v>33</v>
      </c>
      <c r="M41" s="9" t="s">
        <v>35</v>
      </c>
      <c r="N41" s="10">
        <f t="shared" si="4"/>
        <v>2107.09261628104</v>
      </c>
      <c r="O41" s="10">
        <f t="shared" si="5"/>
        <v>740.355106765078</v>
      </c>
      <c r="P41" s="10">
        <f t="shared" si="6"/>
        <v>1366.7375095159623</v>
      </c>
      <c r="Q41" s="11">
        <f t="shared" si="8"/>
        <v>354003.71373772144</v>
      </c>
      <c r="S41" s="92">
        <f t="shared" si="10"/>
        <v>33</v>
      </c>
    </row>
    <row r="42" spans="2:19" ht="12.75">
      <c r="B42" s="9">
        <v>34</v>
      </c>
      <c r="C42" s="9" t="s">
        <v>36</v>
      </c>
      <c r="D42" s="10">
        <f t="shared" si="1"/>
        <v>2107.09261628104</v>
      </c>
      <c r="E42" s="10">
        <f t="shared" si="2"/>
        <v>735.2196356251858</v>
      </c>
      <c r="F42" s="10">
        <f t="shared" si="3"/>
        <v>1371.8729806558545</v>
      </c>
      <c r="G42" s="11">
        <f t="shared" si="9"/>
        <v>351533.55211943336</v>
      </c>
      <c r="H42" s="9"/>
      <c r="I42" s="92">
        <f t="shared" si="0"/>
        <v>34</v>
      </c>
      <c r="L42" s="9">
        <v>34</v>
      </c>
      <c r="M42" s="9" t="s">
        <v>36</v>
      </c>
      <c r="N42" s="10">
        <f t="shared" si="4"/>
        <v>2107.09261628104</v>
      </c>
      <c r="O42" s="10">
        <f t="shared" si="5"/>
        <v>737.5077369535865</v>
      </c>
      <c r="P42" s="10">
        <f t="shared" si="6"/>
        <v>1369.5848793274536</v>
      </c>
      <c r="Q42" s="11">
        <f t="shared" si="8"/>
        <v>352634.128858394</v>
      </c>
      <c r="S42" s="92">
        <f t="shared" si="10"/>
        <v>34</v>
      </c>
    </row>
    <row r="43" spans="2:19" ht="12.75">
      <c r="B43" s="9">
        <v>35</v>
      </c>
      <c r="C43" s="9" t="s">
        <v>37</v>
      </c>
      <c r="D43" s="10">
        <f t="shared" si="1"/>
        <v>2107.09261628104</v>
      </c>
      <c r="E43" s="10">
        <f t="shared" si="2"/>
        <v>732.3615669154862</v>
      </c>
      <c r="F43" s="10">
        <f t="shared" si="3"/>
        <v>1374.731049365554</v>
      </c>
      <c r="G43" s="11">
        <f t="shared" si="9"/>
        <v>350158.8210700678</v>
      </c>
      <c r="H43" s="9"/>
      <c r="I43" s="92">
        <f t="shared" si="0"/>
        <v>35</v>
      </c>
      <c r="L43" s="9">
        <v>35</v>
      </c>
      <c r="M43" s="9" t="s">
        <v>37</v>
      </c>
      <c r="N43" s="10">
        <f t="shared" si="4"/>
        <v>2107.09261628104</v>
      </c>
      <c r="O43" s="10">
        <f t="shared" si="5"/>
        <v>734.654435121654</v>
      </c>
      <c r="P43" s="10">
        <f t="shared" si="6"/>
        <v>1372.4381811593862</v>
      </c>
      <c r="Q43" s="11">
        <f t="shared" si="8"/>
        <v>351261.6906772346</v>
      </c>
      <c r="S43" s="92">
        <f aca="true" t="shared" si="11" ref="S43:S72">IF(O43&gt;0,L43,"")</f>
        <v>35</v>
      </c>
    </row>
    <row r="44" spans="2:19" ht="12.75">
      <c r="B44" s="9">
        <v>36</v>
      </c>
      <c r="C44" s="9" t="s">
        <v>38</v>
      </c>
      <c r="D44" s="10">
        <f t="shared" si="1"/>
        <v>2107.09261628104</v>
      </c>
      <c r="E44" s="10">
        <f t="shared" si="2"/>
        <v>729.4975438959746</v>
      </c>
      <c r="F44" s="10">
        <f t="shared" si="3"/>
        <v>1377.5950723850656</v>
      </c>
      <c r="G44" s="11">
        <f t="shared" si="9"/>
        <v>348781.2259976828</v>
      </c>
      <c r="H44" s="9"/>
      <c r="I44" s="92">
        <f t="shared" si="0"/>
        <v>36</v>
      </c>
      <c r="L44" s="9">
        <v>36</v>
      </c>
      <c r="M44" s="9" t="s">
        <v>38</v>
      </c>
      <c r="N44" s="10">
        <f t="shared" si="4"/>
        <v>2107.09261628104</v>
      </c>
      <c r="O44" s="10">
        <f t="shared" si="5"/>
        <v>731.7951889109055</v>
      </c>
      <c r="P44" s="10">
        <f t="shared" si="6"/>
        <v>1375.2974273701348</v>
      </c>
      <c r="Q44" s="11">
        <f t="shared" si="8"/>
        <v>349886.39324986446</v>
      </c>
      <c r="S44" s="92">
        <f t="shared" si="11"/>
        <v>36</v>
      </c>
    </row>
    <row r="45" spans="2:21" ht="12.75">
      <c r="B45" s="84">
        <v>37</v>
      </c>
      <c r="C45" s="84" t="s">
        <v>27</v>
      </c>
      <c r="D45" s="85">
        <f t="shared" si="1"/>
        <v>2107.09261628104</v>
      </c>
      <c r="E45" s="85">
        <f t="shared" si="2"/>
        <v>726.6275541618392</v>
      </c>
      <c r="F45" s="85">
        <f t="shared" si="3"/>
        <v>1380.4650621192009</v>
      </c>
      <c r="G45" s="86">
        <f t="shared" si="9"/>
        <v>346823.43814725475</v>
      </c>
      <c r="H45" s="68">
        <f>IF((G44-F45)&gt;Energie!S11,Energie!S11,(G44-F45))</f>
        <v>577.3227883088236</v>
      </c>
      <c r="I45" s="92">
        <f aca="true" t="shared" si="12" ref="I45:I108">IF(E45&gt;0,B45,"")</f>
        <v>37</v>
      </c>
      <c r="K45">
        <v>3</v>
      </c>
      <c r="L45" s="84">
        <v>37</v>
      </c>
      <c r="M45" s="84" t="s">
        <v>27</v>
      </c>
      <c r="N45" s="85">
        <f t="shared" si="4"/>
        <v>2107.09261628104</v>
      </c>
      <c r="O45" s="85">
        <f t="shared" si="5"/>
        <v>728.9299859372177</v>
      </c>
      <c r="P45" s="85">
        <f t="shared" si="6"/>
        <v>1378.1626303438225</v>
      </c>
      <c r="Q45" s="86">
        <f t="shared" si="8"/>
        <v>348508.23061952065</v>
      </c>
      <c r="S45" s="92">
        <f t="shared" si="11"/>
        <v>37</v>
      </c>
      <c r="T45" s="128">
        <f>SUM(N33:N44)</f>
        <v>25285.111395372474</v>
      </c>
      <c r="U45" s="128">
        <f>(SUM(N33:N44)+U33)</f>
        <v>75855.33418611743</v>
      </c>
    </row>
    <row r="46" spans="2:19" ht="12.75">
      <c r="B46" s="9">
        <v>38</v>
      </c>
      <c r="C46" s="9" t="s">
        <v>28</v>
      </c>
      <c r="D46" s="10">
        <f t="shared" si="1"/>
        <v>2107.09261628104</v>
      </c>
      <c r="E46" s="10">
        <f t="shared" si="2"/>
        <v>722.5488294734474</v>
      </c>
      <c r="F46" s="10">
        <f t="shared" si="3"/>
        <v>1384.5437868075928</v>
      </c>
      <c r="G46" s="11">
        <f t="shared" si="9"/>
        <v>345438.8943604472</v>
      </c>
      <c r="H46" s="9"/>
      <c r="I46" s="92">
        <f t="shared" si="12"/>
        <v>38</v>
      </c>
      <c r="L46" s="9">
        <v>38</v>
      </c>
      <c r="M46" s="9" t="s">
        <v>28</v>
      </c>
      <c r="N46" s="10">
        <f t="shared" si="4"/>
        <v>2107.09261628104</v>
      </c>
      <c r="O46" s="10">
        <f t="shared" si="5"/>
        <v>726.058813790668</v>
      </c>
      <c r="P46" s="10">
        <f t="shared" si="6"/>
        <v>1381.0338024903722</v>
      </c>
      <c r="Q46" s="11">
        <f t="shared" si="8"/>
        <v>347127.19681703026</v>
      </c>
      <c r="S46" s="92">
        <f t="shared" si="11"/>
        <v>38</v>
      </c>
    </row>
    <row r="47" spans="2:19" ht="12.75">
      <c r="B47" s="9">
        <v>39</v>
      </c>
      <c r="C47" s="9" t="s">
        <v>29</v>
      </c>
      <c r="D47" s="10">
        <f t="shared" si="1"/>
        <v>2107.09261628104</v>
      </c>
      <c r="E47" s="10">
        <f t="shared" si="2"/>
        <v>719.6643632509316</v>
      </c>
      <c r="F47" s="10">
        <f t="shared" si="3"/>
        <v>1387.4282530301084</v>
      </c>
      <c r="G47" s="11">
        <f t="shared" si="9"/>
        <v>344051.4661074171</v>
      </c>
      <c r="H47" s="9"/>
      <c r="I47" s="92">
        <f t="shared" si="12"/>
        <v>39</v>
      </c>
      <c r="L47" s="9">
        <v>39</v>
      </c>
      <c r="M47" s="9" t="s">
        <v>29</v>
      </c>
      <c r="N47" s="10">
        <f t="shared" si="4"/>
        <v>2107.09261628104</v>
      </c>
      <c r="O47" s="10">
        <f t="shared" si="5"/>
        <v>723.1816600354797</v>
      </c>
      <c r="P47" s="10">
        <f t="shared" si="6"/>
        <v>1383.9109562455606</v>
      </c>
      <c r="Q47" s="11">
        <f t="shared" si="8"/>
        <v>345743.2858607847</v>
      </c>
      <c r="S47" s="92">
        <f t="shared" si="11"/>
        <v>39</v>
      </c>
    </row>
    <row r="48" spans="2:19" ht="12.75">
      <c r="B48" s="9">
        <v>40</v>
      </c>
      <c r="C48" s="9" t="s">
        <v>30</v>
      </c>
      <c r="D48" s="10">
        <f t="shared" si="1"/>
        <v>2107.09261628104</v>
      </c>
      <c r="E48" s="10">
        <f t="shared" si="2"/>
        <v>716.7738877237856</v>
      </c>
      <c r="F48" s="10">
        <f t="shared" si="3"/>
        <v>1390.3187285572544</v>
      </c>
      <c r="G48" s="11">
        <f t="shared" si="9"/>
        <v>342661.1473788598</v>
      </c>
      <c r="H48" s="9"/>
      <c r="I48" s="92">
        <f t="shared" si="12"/>
        <v>40</v>
      </c>
      <c r="L48" s="9">
        <v>40</v>
      </c>
      <c r="M48" s="9" t="s">
        <v>30</v>
      </c>
      <c r="N48" s="10">
        <f t="shared" si="4"/>
        <v>2107.09261628104</v>
      </c>
      <c r="O48" s="10">
        <f t="shared" si="5"/>
        <v>720.2985122099681</v>
      </c>
      <c r="P48" s="10">
        <f t="shared" si="6"/>
        <v>1386.794104071072</v>
      </c>
      <c r="Q48" s="11">
        <f t="shared" si="8"/>
        <v>344356.4917567136</v>
      </c>
      <c r="S48" s="92">
        <f t="shared" si="11"/>
        <v>40</v>
      </c>
    </row>
    <row r="49" spans="2:19" ht="12.75">
      <c r="B49" s="9">
        <v>41</v>
      </c>
      <c r="C49" s="9" t="s">
        <v>31</v>
      </c>
      <c r="D49" s="10">
        <f t="shared" si="1"/>
        <v>2107.09261628104</v>
      </c>
      <c r="E49" s="10">
        <f t="shared" si="2"/>
        <v>713.8773903726246</v>
      </c>
      <c r="F49" s="10">
        <f t="shared" si="3"/>
        <v>1393.2152259084155</v>
      </c>
      <c r="G49" s="11">
        <f t="shared" si="9"/>
        <v>341267.93215295137</v>
      </c>
      <c r="H49" s="9"/>
      <c r="I49" s="92">
        <f t="shared" si="12"/>
        <v>41</v>
      </c>
      <c r="L49" s="9">
        <v>41</v>
      </c>
      <c r="M49" s="9" t="s">
        <v>31</v>
      </c>
      <c r="N49" s="10">
        <f t="shared" si="4"/>
        <v>2107.09261628104</v>
      </c>
      <c r="O49" s="10">
        <f t="shared" si="5"/>
        <v>717.4093578264866</v>
      </c>
      <c r="P49" s="10">
        <f t="shared" si="6"/>
        <v>1389.6832584545537</v>
      </c>
      <c r="Q49" s="11">
        <f t="shared" si="8"/>
        <v>342966.80849825905</v>
      </c>
      <c r="S49" s="92">
        <f t="shared" si="11"/>
        <v>41</v>
      </c>
    </row>
    <row r="50" spans="2:22" ht="12.75">
      <c r="B50" s="9">
        <v>42</v>
      </c>
      <c r="C50" s="9" t="s">
        <v>32</v>
      </c>
      <c r="D50" s="10">
        <f t="shared" si="1"/>
        <v>2107.09261628104</v>
      </c>
      <c r="E50" s="10">
        <f t="shared" si="2"/>
        <v>710.9748586519821</v>
      </c>
      <c r="F50" s="10">
        <f t="shared" si="3"/>
        <v>1396.117757629058</v>
      </c>
      <c r="G50" s="11">
        <f t="shared" si="9"/>
        <v>339871.8143953223</v>
      </c>
      <c r="H50" s="9"/>
      <c r="I50" s="92">
        <f t="shared" si="12"/>
        <v>42</v>
      </c>
      <c r="L50" s="9">
        <v>42</v>
      </c>
      <c r="M50" s="9" t="s">
        <v>32</v>
      </c>
      <c r="N50" s="10">
        <f t="shared" si="4"/>
        <v>2107.09261628104</v>
      </c>
      <c r="O50" s="10">
        <f t="shared" si="5"/>
        <v>714.5141843713731</v>
      </c>
      <c r="P50" s="10">
        <f t="shared" si="6"/>
        <v>1392.578431909667</v>
      </c>
      <c r="Q50" s="11">
        <f t="shared" si="8"/>
        <v>341574.2300663494</v>
      </c>
      <c r="S50" s="92">
        <f t="shared" si="11"/>
        <v>42</v>
      </c>
      <c r="V50" s="104"/>
    </row>
    <row r="51" spans="2:22" ht="12.75">
      <c r="B51" s="9">
        <v>43</v>
      </c>
      <c r="C51" s="9" t="s">
        <v>33</v>
      </c>
      <c r="D51" s="10">
        <f t="shared" si="1"/>
        <v>2107.09261628104</v>
      </c>
      <c r="E51" s="10">
        <f t="shared" si="2"/>
        <v>708.0662799902548</v>
      </c>
      <c r="F51" s="10">
        <f t="shared" si="3"/>
        <v>1399.0263362907854</v>
      </c>
      <c r="G51" s="11">
        <f t="shared" si="9"/>
        <v>338472.78805903153</v>
      </c>
      <c r="H51" s="9"/>
      <c r="I51" s="92">
        <f t="shared" si="12"/>
        <v>43</v>
      </c>
      <c r="L51" s="9">
        <v>43</v>
      </c>
      <c r="M51" s="9" t="s">
        <v>33</v>
      </c>
      <c r="N51" s="10">
        <f t="shared" si="4"/>
        <v>2107.09261628104</v>
      </c>
      <c r="O51" s="10">
        <f t="shared" si="5"/>
        <v>711.6129793048946</v>
      </c>
      <c r="P51" s="10">
        <f t="shared" si="6"/>
        <v>1395.4796369761457</v>
      </c>
      <c r="Q51" s="11">
        <f t="shared" si="8"/>
        <v>340178.75042937323</v>
      </c>
      <c r="S51" s="92">
        <f t="shared" si="11"/>
        <v>43</v>
      </c>
      <c r="V51" s="104"/>
    </row>
    <row r="52" spans="2:22" ht="12.75">
      <c r="B52" s="9">
        <v>44</v>
      </c>
      <c r="C52" s="9" t="s">
        <v>34</v>
      </c>
      <c r="D52" s="10">
        <f t="shared" si="1"/>
        <v>2107.09261628104</v>
      </c>
      <c r="E52" s="10">
        <f t="shared" si="2"/>
        <v>705.151641789649</v>
      </c>
      <c r="F52" s="10">
        <f t="shared" si="3"/>
        <v>1401.940974491391</v>
      </c>
      <c r="G52" s="11">
        <f t="shared" si="9"/>
        <v>337070.8470845401</v>
      </c>
      <c r="H52" s="9"/>
      <c r="I52" s="92">
        <f t="shared" si="12"/>
        <v>44</v>
      </c>
      <c r="L52" s="9">
        <v>44</v>
      </c>
      <c r="M52" s="9" t="s">
        <v>34</v>
      </c>
      <c r="N52" s="10">
        <f t="shared" si="4"/>
        <v>2107.09261628104</v>
      </c>
      <c r="O52" s="10">
        <f t="shared" si="5"/>
        <v>708.7057300611941</v>
      </c>
      <c r="P52" s="10">
        <f t="shared" si="6"/>
        <v>1398.386886219846</v>
      </c>
      <c r="Q52" s="11">
        <f t="shared" si="8"/>
        <v>338780.3635431534</v>
      </c>
      <c r="S52" s="92">
        <f t="shared" si="11"/>
        <v>44</v>
      </c>
      <c r="V52" s="104"/>
    </row>
    <row r="53" spans="2:22" ht="12.75">
      <c r="B53" s="9">
        <v>45</v>
      </c>
      <c r="C53" s="9" t="s">
        <v>35</v>
      </c>
      <c r="D53" s="10">
        <f t="shared" si="1"/>
        <v>2107.09261628104</v>
      </c>
      <c r="E53" s="10">
        <f t="shared" si="2"/>
        <v>702.2309314261253</v>
      </c>
      <c r="F53" s="10">
        <f t="shared" si="3"/>
        <v>1404.861684854915</v>
      </c>
      <c r="G53" s="11">
        <f t="shared" si="9"/>
        <v>335665.9853996852</v>
      </c>
      <c r="H53" s="9"/>
      <c r="I53" s="92">
        <f t="shared" si="12"/>
        <v>45</v>
      </c>
      <c r="L53" s="9">
        <v>45</v>
      </c>
      <c r="M53" s="9" t="s">
        <v>35</v>
      </c>
      <c r="N53" s="10">
        <f t="shared" si="4"/>
        <v>2107.09261628104</v>
      </c>
      <c r="O53" s="10">
        <f t="shared" si="5"/>
        <v>705.7924240482363</v>
      </c>
      <c r="P53" s="10">
        <f t="shared" si="6"/>
        <v>1401.300192232804</v>
      </c>
      <c r="Q53" s="11">
        <f t="shared" si="8"/>
        <v>337379.06335092057</v>
      </c>
      <c r="S53" s="92">
        <f t="shared" si="11"/>
        <v>45</v>
      </c>
      <c r="V53" s="104"/>
    </row>
    <row r="54" spans="2:22" ht="12.75">
      <c r="B54" s="9">
        <v>46</v>
      </c>
      <c r="C54" s="9" t="s">
        <v>36</v>
      </c>
      <c r="D54" s="10">
        <f t="shared" si="1"/>
        <v>2107.09261628104</v>
      </c>
      <c r="E54" s="10">
        <f t="shared" si="2"/>
        <v>699.3041362493442</v>
      </c>
      <c r="F54" s="10">
        <f t="shared" si="3"/>
        <v>1407.788480031696</v>
      </c>
      <c r="G54" s="11">
        <f t="shared" si="9"/>
        <v>334258.1969196535</v>
      </c>
      <c r="H54" s="9"/>
      <c r="I54" s="92">
        <f t="shared" si="12"/>
        <v>46</v>
      </c>
      <c r="L54" s="9">
        <v>46</v>
      </c>
      <c r="M54" s="9" t="s">
        <v>36</v>
      </c>
      <c r="N54" s="10">
        <f t="shared" si="4"/>
        <v>2107.09261628104</v>
      </c>
      <c r="O54" s="10">
        <f t="shared" si="5"/>
        <v>702.8730486477511</v>
      </c>
      <c r="P54" s="10">
        <f t="shared" si="6"/>
        <v>1404.219567633289</v>
      </c>
      <c r="Q54" s="11">
        <f t="shared" si="8"/>
        <v>335974.8437832873</v>
      </c>
      <c r="S54" s="92">
        <f t="shared" si="11"/>
        <v>46</v>
      </c>
      <c r="V54" s="104"/>
    </row>
    <row r="55" spans="2:22" ht="12.75">
      <c r="B55" s="9">
        <v>47</v>
      </c>
      <c r="C55" s="9" t="s">
        <v>37</v>
      </c>
      <c r="D55" s="10">
        <f t="shared" si="1"/>
        <v>2107.09261628104</v>
      </c>
      <c r="E55" s="10">
        <f t="shared" si="2"/>
        <v>696.3712435826116</v>
      </c>
      <c r="F55" s="10">
        <f t="shared" si="3"/>
        <v>1410.7213726984287</v>
      </c>
      <c r="G55" s="11">
        <f t="shared" si="9"/>
        <v>332847.4755469551</v>
      </c>
      <c r="H55" s="9"/>
      <c r="I55" s="92">
        <f t="shared" si="12"/>
        <v>47</v>
      </c>
      <c r="L55" s="9">
        <v>47</v>
      </c>
      <c r="M55" s="9" t="s">
        <v>37</v>
      </c>
      <c r="N55" s="10">
        <f t="shared" si="4"/>
        <v>2107.09261628104</v>
      </c>
      <c r="O55" s="10">
        <f t="shared" si="5"/>
        <v>699.9475912151819</v>
      </c>
      <c r="P55" s="10">
        <f t="shared" si="6"/>
        <v>1407.1450250658581</v>
      </c>
      <c r="Q55" s="11">
        <f t="shared" si="8"/>
        <v>334567.6987582214</v>
      </c>
      <c r="S55" s="92">
        <f t="shared" si="11"/>
        <v>47</v>
      </c>
      <c r="V55" s="104"/>
    </row>
    <row r="56" spans="2:22" ht="12.75">
      <c r="B56" s="9">
        <v>48</v>
      </c>
      <c r="C56" s="9" t="s">
        <v>38</v>
      </c>
      <c r="D56" s="10">
        <f t="shared" si="1"/>
        <v>2107.09261628104</v>
      </c>
      <c r="E56" s="10">
        <f t="shared" si="2"/>
        <v>693.4322407228232</v>
      </c>
      <c r="F56" s="10">
        <f t="shared" si="3"/>
        <v>1413.6603755582169</v>
      </c>
      <c r="G56" s="11">
        <f t="shared" si="9"/>
        <v>331433.8151713969</v>
      </c>
      <c r="H56" s="9"/>
      <c r="I56" s="92">
        <f t="shared" si="12"/>
        <v>48</v>
      </c>
      <c r="L56" s="9">
        <v>48</v>
      </c>
      <c r="M56" s="9" t="s">
        <v>38</v>
      </c>
      <c r="N56" s="10">
        <f t="shared" si="4"/>
        <v>2107.09261628104</v>
      </c>
      <c r="O56" s="10">
        <f t="shared" si="5"/>
        <v>697.0160390796281</v>
      </c>
      <c r="P56" s="10">
        <f t="shared" si="6"/>
        <v>1410.076577201412</v>
      </c>
      <c r="Q56" s="11">
        <f t="shared" si="8"/>
        <v>333157.62218102</v>
      </c>
      <c r="S56" s="92">
        <f t="shared" si="11"/>
        <v>48</v>
      </c>
      <c r="V56" s="104"/>
    </row>
    <row r="57" spans="2:22" ht="12.75">
      <c r="B57" s="84">
        <v>49</v>
      </c>
      <c r="C57" s="84" t="s">
        <v>27</v>
      </c>
      <c r="D57" s="85">
        <f t="shared" si="1"/>
        <v>2107.09261628104</v>
      </c>
      <c r="E57" s="85">
        <f t="shared" si="2"/>
        <v>690.4871149404102</v>
      </c>
      <c r="F57" s="85">
        <f t="shared" si="3"/>
        <v>1416.6055013406299</v>
      </c>
      <c r="G57" s="86">
        <f t="shared" si="9"/>
        <v>329408.676980457</v>
      </c>
      <c r="H57" s="68">
        <f>IF((G56-F57)&gt;Energie!S12,Energie!S12,(G56-F57))</f>
        <v>608.5326895992648</v>
      </c>
      <c r="I57" s="92">
        <f t="shared" si="12"/>
        <v>49</v>
      </c>
      <c r="K57">
        <v>4</v>
      </c>
      <c r="L57" s="84">
        <v>49</v>
      </c>
      <c r="M57" s="84" t="s">
        <v>27</v>
      </c>
      <c r="N57" s="85">
        <f t="shared" si="4"/>
        <v>2107.09261628104</v>
      </c>
      <c r="O57" s="85">
        <f t="shared" si="5"/>
        <v>694.0783795437916</v>
      </c>
      <c r="P57" s="85">
        <f t="shared" si="6"/>
        <v>1413.0142367372487</v>
      </c>
      <c r="Q57" s="86">
        <f t="shared" si="8"/>
        <v>331744.6079442827</v>
      </c>
      <c r="S57" s="92">
        <f t="shared" si="11"/>
        <v>49</v>
      </c>
      <c r="T57" s="128">
        <f>SUM(N45:N56)</f>
        <v>25285.111395372474</v>
      </c>
      <c r="U57" s="128">
        <f>(SUM(N45:N56)+U45)</f>
        <v>101140.4455814899</v>
      </c>
      <c r="V57" s="104"/>
    </row>
    <row r="58" spans="2:22" ht="12.75">
      <c r="B58" s="9">
        <v>50</v>
      </c>
      <c r="C58" s="9" t="s">
        <v>28</v>
      </c>
      <c r="D58" s="10">
        <f t="shared" si="1"/>
        <v>2107.09261628104</v>
      </c>
      <c r="E58" s="10">
        <f t="shared" si="2"/>
        <v>686.2680770426188</v>
      </c>
      <c r="F58" s="10">
        <f t="shared" si="3"/>
        <v>1420.8245392384215</v>
      </c>
      <c r="G58" s="11">
        <f t="shared" si="9"/>
        <v>327987.85244121857</v>
      </c>
      <c r="H58" s="9"/>
      <c r="I58" s="92">
        <f t="shared" si="12"/>
        <v>50</v>
      </c>
      <c r="L58" s="9">
        <v>50</v>
      </c>
      <c r="M58" s="9" t="s">
        <v>28</v>
      </c>
      <c r="N58" s="10">
        <f t="shared" si="4"/>
        <v>2107.09261628104</v>
      </c>
      <c r="O58" s="10">
        <f t="shared" si="5"/>
        <v>691.1345998839223</v>
      </c>
      <c r="P58" s="10">
        <f t="shared" si="6"/>
        <v>1415.9580163971177</v>
      </c>
      <c r="Q58" s="11">
        <f t="shared" si="8"/>
        <v>330328.64992788556</v>
      </c>
      <c r="S58" s="92">
        <f t="shared" si="11"/>
        <v>50</v>
      </c>
      <c r="V58" s="104"/>
    </row>
    <row r="59" spans="2:22" ht="12.75">
      <c r="B59" s="9">
        <v>51</v>
      </c>
      <c r="C59" s="9" t="s">
        <v>29</v>
      </c>
      <c r="D59" s="10">
        <f t="shared" si="1"/>
        <v>2107.09261628104</v>
      </c>
      <c r="E59" s="10">
        <f t="shared" si="2"/>
        <v>683.3080259192053</v>
      </c>
      <c r="F59" s="10">
        <f t="shared" si="3"/>
        <v>1423.784590361835</v>
      </c>
      <c r="G59" s="11">
        <f t="shared" si="9"/>
        <v>326564.06785085675</v>
      </c>
      <c r="H59" s="9"/>
      <c r="I59" s="92">
        <f t="shared" si="12"/>
        <v>51</v>
      </c>
      <c r="L59" s="9">
        <v>51</v>
      </c>
      <c r="M59" s="9" t="s">
        <v>29</v>
      </c>
      <c r="N59" s="10">
        <f t="shared" si="4"/>
        <v>2107.09261628104</v>
      </c>
      <c r="O59" s="10">
        <f t="shared" si="5"/>
        <v>688.1846873497616</v>
      </c>
      <c r="P59" s="10">
        <f t="shared" si="6"/>
        <v>1418.9079289312785</v>
      </c>
      <c r="Q59" s="11">
        <f t="shared" si="8"/>
        <v>328909.74199895427</v>
      </c>
      <c r="S59" s="92">
        <f t="shared" si="11"/>
        <v>51</v>
      </c>
      <c r="V59" s="104"/>
    </row>
    <row r="60" spans="2:22" ht="12.75">
      <c r="B60" s="9">
        <v>52</v>
      </c>
      <c r="C60" s="9" t="s">
        <v>30</v>
      </c>
      <c r="D60" s="10">
        <f t="shared" si="1"/>
        <v>2107.09261628104</v>
      </c>
      <c r="E60" s="10">
        <f t="shared" si="2"/>
        <v>680.3418080226182</v>
      </c>
      <c r="F60" s="10">
        <f t="shared" si="3"/>
        <v>1426.7508082584218</v>
      </c>
      <c r="G60" s="11">
        <f t="shared" si="9"/>
        <v>325137.3170425983</v>
      </c>
      <c r="H60" s="9"/>
      <c r="I60" s="92">
        <f t="shared" si="12"/>
        <v>52</v>
      </c>
      <c r="L60" s="9">
        <v>52</v>
      </c>
      <c r="M60" s="9" t="s">
        <v>30</v>
      </c>
      <c r="N60" s="10">
        <f t="shared" si="4"/>
        <v>2107.09261628104</v>
      </c>
      <c r="O60" s="10">
        <f t="shared" si="5"/>
        <v>685.2286291644881</v>
      </c>
      <c r="P60" s="10">
        <f t="shared" si="6"/>
        <v>1421.863987116552</v>
      </c>
      <c r="Q60" s="11">
        <f t="shared" si="8"/>
        <v>327487.8780118377</v>
      </c>
      <c r="S60" s="92">
        <f t="shared" si="11"/>
        <v>52</v>
      </c>
      <c r="V60" s="104"/>
    </row>
    <row r="61" spans="2:22" ht="12.75">
      <c r="B61" s="9">
        <v>53</v>
      </c>
      <c r="C61" s="9" t="s">
        <v>31</v>
      </c>
      <c r="D61" s="10">
        <f t="shared" si="1"/>
        <v>2107.09261628104</v>
      </c>
      <c r="E61" s="10">
        <f t="shared" si="2"/>
        <v>677.3694105054132</v>
      </c>
      <c r="F61" s="10">
        <f t="shared" si="3"/>
        <v>1429.7232057756269</v>
      </c>
      <c r="G61" s="11">
        <f t="shared" si="9"/>
        <v>323707.5938368227</v>
      </c>
      <c r="H61" s="9"/>
      <c r="I61" s="92">
        <f t="shared" si="12"/>
        <v>53</v>
      </c>
      <c r="L61" s="9">
        <v>53</v>
      </c>
      <c r="M61" s="9" t="s">
        <v>31</v>
      </c>
      <c r="N61" s="10">
        <f t="shared" si="4"/>
        <v>2107.09261628104</v>
      </c>
      <c r="O61" s="10">
        <f t="shared" si="5"/>
        <v>682.2664125246619</v>
      </c>
      <c r="P61" s="10">
        <f t="shared" si="6"/>
        <v>1424.8262037563782</v>
      </c>
      <c r="Q61" s="11">
        <f t="shared" si="8"/>
        <v>326063.05180808133</v>
      </c>
      <c r="S61" s="92">
        <f t="shared" si="11"/>
        <v>53</v>
      </c>
      <c r="V61" s="104"/>
    </row>
    <row r="62" spans="2:22" ht="12.75">
      <c r="B62" s="9">
        <v>54</v>
      </c>
      <c r="C62" s="9" t="s">
        <v>32</v>
      </c>
      <c r="D62" s="10">
        <f t="shared" si="1"/>
        <v>2107.09261628104</v>
      </c>
      <c r="E62" s="10">
        <f t="shared" si="2"/>
        <v>674.3908204933806</v>
      </c>
      <c r="F62" s="10">
        <f t="shared" si="3"/>
        <v>1432.7017957876596</v>
      </c>
      <c r="G62" s="11">
        <f t="shared" si="9"/>
        <v>322274.89204103505</v>
      </c>
      <c r="H62" s="9"/>
      <c r="I62" s="92">
        <f t="shared" si="12"/>
        <v>54</v>
      </c>
      <c r="L62" s="9">
        <v>54</v>
      </c>
      <c r="M62" s="9" t="s">
        <v>32</v>
      </c>
      <c r="N62" s="10">
        <f t="shared" si="4"/>
        <v>2107.09261628104</v>
      </c>
      <c r="O62" s="10">
        <f t="shared" si="5"/>
        <v>679.2980246001695</v>
      </c>
      <c r="P62" s="10">
        <f t="shared" si="6"/>
        <v>1427.7945916808708</v>
      </c>
      <c r="Q62" s="11">
        <f t="shared" si="8"/>
        <v>324635.25721640047</v>
      </c>
      <c r="S62" s="92">
        <f t="shared" si="11"/>
        <v>54</v>
      </c>
      <c r="V62" s="104"/>
    </row>
    <row r="63" spans="2:22" ht="12.75">
      <c r="B63" s="9">
        <v>55</v>
      </c>
      <c r="C63" s="9" t="s">
        <v>33</v>
      </c>
      <c r="D63" s="10">
        <f t="shared" si="1"/>
        <v>2107.09261628104</v>
      </c>
      <c r="E63" s="10">
        <f t="shared" si="2"/>
        <v>671.4060250854897</v>
      </c>
      <c r="F63" s="10">
        <f t="shared" si="3"/>
        <v>1435.6865911955506</v>
      </c>
      <c r="G63" s="11">
        <f t="shared" si="9"/>
        <v>320839.20544983953</v>
      </c>
      <c r="H63" s="9"/>
      <c r="I63" s="92">
        <f t="shared" si="12"/>
        <v>55</v>
      </c>
      <c r="L63" s="9">
        <v>55</v>
      </c>
      <c r="M63" s="9" t="s">
        <v>33</v>
      </c>
      <c r="N63" s="10">
        <f t="shared" si="4"/>
        <v>2107.09261628104</v>
      </c>
      <c r="O63" s="10">
        <f t="shared" si="5"/>
        <v>676.3234525341677</v>
      </c>
      <c r="P63" s="10">
        <f t="shared" si="6"/>
        <v>1430.7691637468724</v>
      </c>
      <c r="Q63" s="11">
        <f t="shared" si="8"/>
        <v>323204.4880526536</v>
      </c>
      <c r="S63" s="92">
        <f t="shared" si="11"/>
        <v>55</v>
      </c>
      <c r="V63" s="104"/>
    </row>
    <row r="64" spans="2:22" ht="12.75">
      <c r="B64" s="9">
        <v>56</v>
      </c>
      <c r="C64" s="9" t="s">
        <v>34</v>
      </c>
      <c r="D64" s="10">
        <f t="shared" si="1"/>
        <v>2107.09261628104</v>
      </c>
      <c r="E64" s="10">
        <f t="shared" si="2"/>
        <v>668.4150113538324</v>
      </c>
      <c r="F64" s="10">
        <f t="shared" si="3"/>
        <v>1438.6776049272078</v>
      </c>
      <c r="G64" s="11">
        <f t="shared" si="9"/>
        <v>319400.5278449123</v>
      </c>
      <c r="H64" s="9"/>
      <c r="I64" s="92">
        <f t="shared" si="12"/>
        <v>56</v>
      </c>
      <c r="L64" s="9">
        <v>56</v>
      </c>
      <c r="M64" s="9" t="s">
        <v>34</v>
      </c>
      <c r="N64" s="10">
        <f t="shared" si="4"/>
        <v>2107.09261628104</v>
      </c>
      <c r="O64" s="10">
        <f t="shared" si="5"/>
        <v>673.3426834430284</v>
      </c>
      <c r="P64" s="10">
        <f t="shared" si="6"/>
        <v>1433.7499328380118</v>
      </c>
      <c r="Q64" s="11">
        <f t="shared" si="8"/>
        <v>321770.7381198156</v>
      </c>
      <c r="S64" s="92">
        <f t="shared" si="11"/>
        <v>56</v>
      </c>
      <c r="V64" s="104"/>
    </row>
    <row r="65" spans="2:22" ht="12.75">
      <c r="B65" s="9">
        <v>57</v>
      </c>
      <c r="C65" s="9" t="s">
        <v>35</v>
      </c>
      <c r="D65" s="10">
        <f t="shared" si="1"/>
        <v>2107.09261628104</v>
      </c>
      <c r="E65" s="10">
        <f t="shared" si="2"/>
        <v>665.4177663435673</v>
      </c>
      <c r="F65" s="10">
        <f t="shared" si="3"/>
        <v>1441.6748499374728</v>
      </c>
      <c r="G65" s="11">
        <f t="shared" si="9"/>
        <v>317958.8529949748</v>
      </c>
      <c r="H65" s="9"/>
      <c r="I65" s="92">
        <f t="shared" si="12"/>
        <v>57</v>
      </c>
      <c r="L65" s="9">
        <v>57</v>
      </c>
      <c r="M65" s="9" t="s">
        <v>35</v>
      </c>
      <c r="N65" s="10">
        <f t="shared" si="4"/>
        <v>2107.09261628104</v>
      </c>
      <c r="O65" s="10">
        <f t="shared" si="5"/>
        <v>670.3557044162825</v>
      </c>
      <c r="P65" s="10">
        <f t="shared" si="6"/>
        <v>1436.7369118647575</v>
      </c>
      <c r="Q65" s="11">
        <f t="shared" si="8"/>
        <v>320334.0012079508</v>
      </c>
      <c r="S65" s="92">
        <f t="shared" si="11"/>
        <v>57</v>
      </c>
      <c r="V65" s="104"/>
    </row>
    <row r="66" spans="2:22" ht="12.75">
      <c r="B66" s="9">
        <v>58</v>
      </c>
      <c r="C66" s="9" t="s">
        <v>36</v>
      </c>
      <c r="D66" s="10">
        <f t="shared" si="1"/>
        <v>2107.09261628104</v>
      </c>
      <c r="E66" s="10">
        <f t="shared" si="2"/>
        <v>662.4142770728641</v>
      </c>
      <c r="F66" s="10">
        <f t="shared" si="3"/>
        <v>1444.678339208176</v>
      </c>
      <c r="G66" s="11">
        <f t="shared" si="9"/>
        <v>316514.17465576663</v>
      </c>
      <c r="H66" s="9"/>
      <c r="I66" s="92">
        <f t="shared" si="12"/>
        <v>58</v>
      </c>
      <c r="L66" s="9">
        <v>58</v>
      </c>
      <c r="M66" s="9" t="s">
        <v>36</v>
      </c>
      <c r="N66" s="10">
        <f t="shared" si="4"/>
        <v>2107.09261628104</v>
      </c>
      <c r="O66" s="10">
        <f t="shared" si="5"/>
        <v>667.3625025165642</v>
      </c>
      <c r="P66" s="10">
        <f t="shared" si="6"/>
        <v>1439.7301137644758</v>
      </c>
      <c r="Q66" s="11">
        <f t="shared" si="8"/>
        <v>318894.27109418635</v>
      </c>
      <c r="S66" s="92">
        <f t="shared" si="11"/>
        <v>58</v>
      </c>
      <c r="V66" s="104"/>
    </row>
    <row r="67" spans="2:22" ht="12.75">
      <c r="B67" s="9">
        <v>59</v>
      </c>
      <c r="C67" s="9" t="s">
        <v>37</v>
      </c>
      <c r="D67" s="10">
        <f t="shared" si="1"/>
        <v>2107.09261628104</v>
      </c>
      <c r="E67" s="10">
        <f t="shared" si="2"/>
        <v>659.4045305328472</v>
      </c>
      <c r="F67" s="10">
        <f t="shared" si="3"/>
        <v>1447.6880857481929</v>
      </c>
      <c r="G67" s="11">
        <f t="shared" si="9"/>
        <v>315066.48657001846</v>
      </c>
      <c r="H67" s="9"/>
      <c r="I67" s="92">
        <f t="shared" si="12"/>
        <v>59</v>
      </c>
      <c r="L67" s="9">
        <v>59</v>
      </c>
      <c r="M67" s="9" t="s">
        <v>37</v>
      </c>
      <c r="N67" s="10">
        <f t="shared" si="4"/>
        <v>2107.09261628104</v>
      </c>
      <c r="O67" s="10">
        <f t="shared" si="5"/>
        <v>664.3630647795549</v>
      </c>
      <c r="P67" s="10">
        <f t="shared" si="6"/>
        <v>1442.7295515014853</v>
      </c>
      <c r="Q67" s="11">
        <f t="shared" si="8"/>
        <v>317451.54154268483</v>
      </c>
      <c r="S67" s="92">
        <f t="shared" si="11"/>
        <v>59</v>
      </c>
      <c r="V67" s="104"/>
    </row>
    <row r="68" spans="2:22" ht="12.75">
      <c r="B68" s="9">
        <v>60</v>
      </c>
      <c r="C68" s="9" t="s">
        <v>38</v>
      </c>
      <c r="D68" s="10">
        <f t="shared" si="1"/>
        <v>2107.09261628104</v>
      </c>
      <c r="E68" s="10">
        <f t="shared" si="2"/>
        <v>656.3885136875384</v>
      </c>
      <c r="F68" s="10">
        <f t="shared" si="3"/>
        <v>1450.7041025935018</v>
      </c>
      <c r="G68" s="11">
        <f t="shared" si="9"/>
        <v>313615.782467425</v>
      </c>
      <c r="H68" s="9"/>
      <c r="I68" s="92">
        <f t="shared" si="12"/>
        <v>60</v>
      </c>
      <c r="L68" s="9">
        <v>60</v>
      </c>
      <c r="M68" s="9" t="s">
        <v>38</v>
      </c>
      <c r="N68" s="10">
        <f t="shared" si="4"/>
        <v>2107.09261628104</v>
      </c>
      <c r="O68" s="10">
        <f t="shared" si="5"/>
        <v>661.3573782139268</v>
      </c>
      <c r="P68" s="10">
        <f t="shared" si="6"/>
        <v>1445.7352380671132</v>
      </c>
      <c r="Q68" s="11">
        <f t="shared" si="8"/>
        <v>316005.8063046177</v>
      </c>
      <c r="S68" s="92">
        <f t="shared" si="11"/>
        <v>60</v>
      </c>
      <c r="V68" s="104"/>
    </row>
    <row r="69" spans="2:22" ht="12.75">
      <c r="B69" s="84">
        <v>61</v>
      </c>
      <c r="C69" s="84" t="s">
        <v>27</v>
      </c>
      <c r="D69" s="85">
        <f t="shared" si="1"/>
        <v>2107.09261628104</v>
      </c>
      <c r="E69" s="85">
        <f t="shared" si="2"/>
        <v>653.3662134738021</v>
      </c>
      <c r="F69" s="85">
        <f t="shared" si="3"/>
        <v>1453.7264028072382</v>
      </c>
      <c r="G69" s="86">
        <f t="shared" si="9"/>
        <v>311520.7178222354</v>
      </c>
      <c r="H69" s="68">
        <f>IF((G68-F69)&gt;Energie!S13,Energie!S13,(G68-F69))</f>
        <v>641.3382423823532</v>
      </c>
      <c r="I69" s="92">
        <f t="shared" si="12"/>
        <v>61</v>
      </c>
      <c r="K69">
        <v>5</v>
      </c>
      <c r="L69" s="84">
        <v>61</v>
      </c>
      <c r="M69" s="84" t="s">
        <v>27</v>
      </c>
      <c r="N69" s="85">
        <f t="shared" si="4"/>
        <v>2107.09261628104</v>
      </c>
      <c r="O69" s="85">
        <f t="shared" si="5"/>
        <v>658.345429801287</v>
      </c>
      <c r="P69" s="85">
        <f t="shared" si="6"/>
        <v>1448.747186479753</v>
      </c>
      <c r="Q69" s="86">
        <f t="shared" si="8"/>
        <v>314557.059118138</v>
      </c>
      <c r="S69" s="92">
        <f t="shared" si="11"/>
        <v>61</v>
      </c>
      <c r="T69" s="128">
        <f>SUM(N57:N68)</f>
        <v>25285.111395372474</v>
      </c>
      <c r="U69" s="128">
        <f>(SUM(N57:N68)+U57)</f>
        <v>126425.55697686237</v>
      </c>
      <c r="V69" s="104"/>
    </row>
    <row r="70" spans="2:22" ht="12.75">
      <c r="B70" s="9">
        <v>62</v>
      </c>
      <c r="C70" s="9" t="s">
        <v>28</v>
      </c>
      <c r="D70" s="10">
        <f t="shared" si="1"/>
        <v>2107.09261628104</v>
      </c>
      <c r="E70" s="10">
        <f t="shared" si="2"/>
        <v>649.0014954629904</v>
      </c>
      <c r="F70" s="10">
        <f t="shared" si="3"/>
        <v>1458.0911208180496</v>
      </c>
      <c r="G70" s="11">
        <f t="shared" si="9"/>
        <v>310062.6267014174</v>
      </c>
      <c r="H70" s="9"/>
      <c r="I70" s="92">
        <f t="shared" si="12"/>
        <v>62</v>
      </c>
      <c r="L70" s="9">
        <v>62</v>
      </c>
      <c r="M70" s="9" t="s">
        <v>28</v>
      </c>
      <c r="N70" s="10">
        <f t="shared" si="4"/>
        <v>2107.09261628104</v>
      </c>
      <c r="O70" s="10">
        <f t="shared" si="5"/>
        <v>655.3272064961208</v>
      </c>
      <c r="P70" s="10">
        <f t="shared" si="6"/>
        <v>1451.7654097849195</v>
      </c>
      <c r="Q70" s="11">
        <f t="shared" si="8"/>
        <v>313105.29370835307</v>
      </c>
      <c r="S70" s="92">
        <f t="shared" si="11"/>
        <v>62</v>
      </c>
      <c r="V70" s="104"/>
    </row>
    <row r="71" spans="2:22" ht="12.75">
      <c r="B71" s="9">
        <v>63</v>
      </c>
      <c r="C71" s="9" t="s">
        <v>29</v>
      </c>
      <c r="D71" s="10">
        <f t="shared" si="1"/>
        <v>2107.09261628104</v>
      </c>
      <c r="E71" s="10">
        <f t="shared" si="2"/>
        <v>645.9638056279529</v>
      </c>
      <c r="F71" s="10">
        <f t="shared" si="3"/>
        <v>1461.1288106530874</v>
      </c>
      <c r="G71" s="11">
        <f t="shared" si="9"/>
        <v>308601.49789076427</v>
      </c>
      <c r="H71" s="9"/>
      <c r="I71" s="92">
        <f t="shared" si="12"/>
        <v>63</v>
      </c>
      <c r="L71" s="9">
        <v>63</v>
      </c>
      <c r="M71" s="9" t="s">
        <v>29</v>
      </c>
      <c r="N71" s="10">
        <f t="shared" si="4"/>
        <v>2107.09261628104</v>
      </c>
      <c r="O71" s="10">
        <f t="shared" si="5"/>
        <v>652.3026952257355</v>
      </c>
      <c r="P71" s="10">
        <f t="shared" si="6"/>
        <v>1454.7899210553046</v>
      </c>
      <c r="Q71" s="11">
        <f t="shared" si="8"/>
        <v>311650.50378729776</v>
      </c>
      <c r="S71" s="92">
        <f t="shared" si="11"/>
        <v>63</v>
      </c>
      <c r="V71" s="104"/>
    </row>
    <row r="72" spans="2:22" ht="12.75">
      <c r="B72" s="9">
        <v>64</v>
      </c>
      <c r="C72" s="9" t="s">
        <v>30</v>
      </c>
      <c r="D72" s="10">
        <f t="shared" si="1"/>
        <v>2107.09261628104</v>
      </c>
      <c r="E72" s="10">
        <f t="shared" si="2"/>
        <v>642.9197872724255</v>
      </c>
      <c r="F72" s="10">
        <f t="shared" si="3"/>
        <v>1464.1728290086146</v>
      </c>
      <c r="G72" s="11">
        <f t="shared" si="9"/>
        <v>307137.32506175566</v>
      </c>
      <c r="H72" s="9"/>
      <c r="I72" s="92">
        <f t="shared" si="12"/>
        <v>64</v>
      </c>
      <c r="L72" s="9">
        <v>64</v>
      </c>
      <c r="M72" s="9" t="s">
        <v>30</v>
      </c>
      <c r="N72" s="10">
        <f t="shared" si="4"/>
        <v>2107.09261628104</v>
      </c>
      <c r="O72" s="10">
        <f t="shared" si="5"/>
        <v>649.2718828902036</v>
      </c>
      <c r="P72" s="10">
        <f t="shared" si="6"/>
        <v>1457.8207333908365</v>
      </c>
      <c r="Q72" s="11">
        <f t="shared" si="8"/>
        <v>310192.6830539069</v>
      </c>
      <c r="S72" s="92">
        <f t="shared" si="11"/>
        <v>64</v>
      </c>
      <c r="V72" s="104"/>
    </row>
    <row r="73" spans="2:22" ht="12.75">
      <c r="B73" s="9">
        <v>65</v>
      </c>
      <c r="C73" s="9" t="s">
        <v>31</v>
      </c>
      <c r="D73" s="10">
        <f t="shared" si="1"/>
        <v>2107.09261628104</v>
      </c>
      <c r="E73" s="10">
        <f t="shared" si="2"/>
        <v>639.8694272119909</v>
      </c>
      <c r="F73" s="10">
        <f t="shared" si="3"/>
        <v>1467.223189069049</v>
      </c>
      <c r="G73" s="11">
        <f t="shared" si="9"/>
        <v>305670.1018726866</v>
      </c>
      <c r="H73" s="9"/>
      <c r="I73" s="92">
        <f t="shared" si="12"/>
        <v>65</v>
      </c>
      <c r="L73" s="9">
        <v>65</v>
      </c>
      <c r="M73" s="9" t="s">
        <v>31</v>
      </c>
      <c r="N73" s="10">
        <f t="shared" si="4"/>
        <v>2107.09261628104</v>
      </c>
      <c r="O73" s="10">
        <f t="shared" si="5"/>
        <v>646.234756362306</v>
      </c>
      <c r="P73" s="10">
        <f t="shared" si="6"/>
        <v>1460.857859918734</v>
      </c>
      <c r="Q73" s="11">
        <f t="shared" si="8"/>
        <v>308731.82519398816</v>
      </c>
      <c r="S73" s="92">
        <f aca="true" t="shared" si="13" ref="S73:S133">IF(O73&gt;0,L73,"")</f>
        <v>65</v>
      </c>
      <c r="V73" s="104"/>
    </row>
    <row r="74" spans="2:22" ht="12.75">
      <c r="B74" s="9">
        <v>66</v>
      </c>
      <c r="C74" s="9" t="s">
        <v>32</v>
      </c>
      <c r="D74" s="10">
        <f aca="true" t="shared" si="14" ref="D74:D137">IF(G73&lt;D$5,G73+E74,D$5)</f>
        <v>2107.09261628104</v>
      </c>
      <c r="E74" s="10">
        <f aca="true" t="shared" si="15" ref="E74:E137">IF(G73/100*E$5/12&lt;0,0,G73/100*E$5/12)</f>
        <v>636.8127122347638</v>
      </c>
      <c r="F74" s="10">
        <f aca="true" t="shared" si="16" ref="F74:F137">D74-E74</f>
        <v>1470.2799040462764</v>
      </c>
      <c r="G74" s="11">
        <f t="shared" si="9"/>
        <v>304199.8219686403</v>
      </c>
      <c r="H74" s="9"/>
      <c r="I74" s="92">
        <f t="shared" si="12"/>
        <v>66</v>
      </c>
      <c r="L74" s="9">
        <v>66</v>
      </c>
      <c r="M74" s="9" t="s">
        <v>32</v>
      </c>
      <c r="N74" s="10">
        <f aca="true" t="shared" si="17" ref="N74:N137">IF(Q73&lt;D$5,Q73+O74,D$5)</f>
        <v>2107.09261628104</v>
      </c>
      <c r="O74" s="10">
        <f aca="true" t="shared" si="18" ref="O74:O137">IF(Q73/100*E$5/12&lt;0,0,Q73/100*E$5/12)</f>
        <v>643.1913024874754</v>
      </c>
      <c r="P74" s="10">
        <f aca="true" t="shared" si="19" ref="P74:P137">N74-O74</f>
        <v>1463.901313793565</v>
      </c>
      <c r="Q74" s="11">
        <f t="shared" si="8"/>
        <v>307267.9238801946</v>
      </c>
      <c r="S74" s="92">
        <f t="shared" si="13"/>
        <v>66</v>
      </c>
      <c r="V74" s="104"/>
    </row>
    <row r="75" spans="2:22" ht="12.75">
      <c r="B75" s="9">
        <v>67</v>
      </c>
      <c r="C75" s="9" t="s">
        <v>33</v>
      </c>
      <c r="D75" s="10">
        <f t="shared" si="14"/>
        <v>2107.09261628104</v>
      </c>
      <c r="E75" s="10">
        <f t="shared" si="15"/>
        <v>633.749629101334</v>
      </c>
      <c r="F75" s="10">
        <f t="shared" si="16"/>
        <v>1473.3429871797061</v>
      </c>
      <c r="G75" s="11">
        <f t="shared" si="9"/>
        <v>302726.4789814606</v>
      </c>
      <c r="H75" s="9"/>
      <c r="I75" s="92">
        <f t="shared" si="12"/>
        <v>67</v>
      </c>
      <c r="L75" s="9">
        <v>67</v>
      </c>
      <c r="M75" s="9" t="s">
        <v>33</v>
      </c>
      <c r="N75" s="10">
        <f t="shared" si="17"/>
        <v>2107.09261628104</v>
      </c>
      <c r="O75" s="10">
        <f t="shared" si="18"/>
        <v>640.1415080837388</v>
      </c>
      <c r="P75" s="10">
        <f t="shared" si="19"/>
        <v>1466.9511081973014</v>
      </c>
      <c r="Q75" s="11">
        <f aca="true" t="shared" si="20" ref="Q75:Q138">Q74-P75</f>
        <v>305800.97277199733</v>
      </c>
      <c r="S75" s="92">
        <f t="shared" si="13"/>
        <v>67</v>
      </c>
      <c r="V75" s="104"/>
    </row>
    <row r="76" spans="2:22" ht="12.75">
      <c r="B76" s="9">
        <v>68</v>
      </c>
      <c r="C76" s="9" t="s">
        <v>34</v>
      </c>
      <c r="D76" s="10">
        <f t="shared" si="14"/>
        <v>2107.09261628104</v>
      </c>
      <c r="E76" s="10">
        <f t="shared" si="15"/>
        <v>630.6801645447096</v>
      </c>
      <c r="F76" s="10">
        <f t="shared" si="16"/>
        <v>1476.4124517363307</v>
      </c>
      <c r="G76" s="11">
        <f aca="true" t="shared" si="21" ref="G76:G139">G75-F76-H76</f>
        <v>301250.0665297243</v>
      </c>
      <c r="H76" s="9"/>
      <c r="I76" s="92">
        <f t="shared" si="12"/>
        <v>68</v>
      </c>
      <c r="L76" s="9">
        <v>68</v>
      </c>
      <c r="M76" s="9" t="s">
        <v>34</v>
      </c>
      <c r="N76" s="10">
        <f t="shared" si="17"/>
        <v>2107.09261628104</v>
      </c>
      <c r="O76" s="10">
        <f t="shared" si="18"/>
        <v>637.0853599416611</v>
      </c>
      <c r="P76" s="10">
        <f t="shared" si="19"/>
        <v>1470.0072563393792</v>
      </c>
      <c r="Q76" s="11">
        <f t="shared" si="20"/>
        <v>304330.96551565797</v>
      </c>
      <c r="S76" s="92">
        <f t="shared" si="13"/>
        <v>68</v>
      </c>
      <c r="V76" s="104"/>
    </row>
    <row r="77" spans="2:22" ht="12.75">
      <c r="B77" s="9">
        <v>69</v>
      </c>
      <c r="C77" s="9" t="s">
        <v>35</v>
      </c>
      <c r="D77" s="10">
        <f t="shared" si="14"/>
        <v>2107.09261628104</v>
      </c>
      <c r="E77" s="10">
        <f t="shared" si="15"/>
        <v>627.6043052702589</v>
      </c>
      <c r="F77" s="10">
        <f t="shared" si="16"/>
        <v>1479.4883110107812</v>
      </c>
      <c r="G77" s="11">
        <f t="shared" si="21"/>
        <v>299770.5782187135</v>
      </c>
      <c r="H77" s="9"/>
      <c r="I77" s="92">
        <f t="shared" si="12"/>
        <v>69</v>
      </c>
      <c r="L77" s="9">
        <v>69</v>
      </c>
      <c r="M77" s="9" t="s">
        <v>35</v>
      </c>
      <c r="N77" s="10">
        <f t="shared" si="17"/>
        <v>2107.09261628104</v>
      </c>
      <c r="O77" s="10">
        <f t="shared" si="18"/>
        <v>634.0228448242874</v>
      </c>
      <c r="P77" s="10">
        <f t="shared" si="19"/>
        <v>1473.0697714567527</v>
      </c>
      <c r="Q77" s="11">
        <f t="shared" si="20"/>
        <v>302857.8957442012</v>
      </c>
      <c r="S77" s="92">
        <f t="shared" si="13"/>
        <v>69</v>
      </c>
      <c r="V77" s="104"/>
    </row>
    <row r="78" spans="2:22" ht="12.75">
      <c r="B78" s="9">
        <v>70</v>
      </c>
      <c r="C78" s="9" t="s">
        <v>36</v>
      </c>
      <c r="D78" s="10">
        <f t="shared" si="14"/>
        <v>2107.09261628104</v>
      </c>
      <c r="E78" s="10">
        <f t="shared" si="15"/>
        <v>624.5220379556532</v>
      </c>
      <c r="F78" s="10">
        <f t="shared" si="16"/>
        <v>1482.570578325387</v>
      </c>
      <c r="G78" s="11">
        <f t="shared" si="21"/>
        <v>298288.00764038815</v>
      </c>
      <c r="H78" s="9"/>
      <c r="I78" s="92">
        <f t="shared" si="12"/>
        <v>70</v>
      </c>
      <c r="L78" s="9">
        <v>70</v>
      </c>
      <c r="M78" s="9" t="s">
        <v>36</v>
      </c>
      <c r="N78" s="10">
        <f t="shared" si="17"/>
        <v>2107.09261628104</v>
      </c>
      <c r="O78" s="10">
        <f t="shared" si="18"/>
        <v>630.9539494670859</v>
      </c>
      <c r="P78" s="10">
        <f t="shared" si="19"/>
        <v>1476.1386668139544</v>
      </c>
      <c r="Q78" s="11">
        <f t="shared" si="20"/>
        <v>301381.75707738724</v>
      </c>
      <c r="S78" s="92">
        <f t="shared" si="13"/>
        <v>70</v>
      </c>
      <c r="V78" s="104"/>
    </row>
    <row r="79" spans="2:22" ht="12.75">
      <c r="B79" s="9">
        <v>71</v>
      </c>
      <c r="C79" s="9" t="s">
        <v>37</v>
      </c>
      <c r="D79" s="10">
        <f t="shared" si="14"/>
        <v>2107.09261628104</v>
      </c>
      <c r="E79" s="10">
        <f t="shared" si="15"/>
        <v>621.4333492508086</v>
      </c>
      <c r="F79" s="10">
        <f t="shared" si="16"/>
        <v>1485.6592670302316</v>
      </c>
      <c r="G79" s="11">
        <f t="shared" si="21"/>
        <v>296802.3483733579</v>
      </c>
      <c r="H79" s="9"/>
      <c r="I79" s="92">
        <f t="shared" si="12"/>
        <v>71</v>
      </c>
      <c r="L79" s="9">
        <v>71</v>
      </c>
      <c r="M79" s="9" t="s">
        <v>37</v>
      </c>
      <c r="N79" s="10">
        <f t="shared" si="17"/>
        <v>2107.09261628104</v>
      </c>
      <c r="O79" s="10">
        <f t="shared" si="18"/>
        <v>627.8786605778901</v>
      </c>
      <c r="P79" s="10">
        <f t="shared" si="19"/>
        <v>1479.21395570315</v>
      </c>
      <c r="Q79" s="11">
        <f t="shared" si="20"/>
        <v>299902.5431216841</v>
      </c>
      <c r="S79" s="92">
        <f t="shared" si="13"/>
        <v>71</v>
      </c>
      <c r="V79" s="104"/>
    </row>
    <row r="80" spans="2:22" ht="12.75">
      <c r="B80" s="9">
        <v>72</v>
      </c>
      <c r="C80" s="9" t="s">
        <v>38</v>
      </c>
      <c r="D80" s="10">
        <f t="shared" si="14"/>
        <v>2107.09261628104</v>
      </c>
      <c r="E80" s="10">
        <f t="shared" si="15"/>
        <v>618.338225777829</v>
      </c>
      <c r="F80" s="10">
        <f t="shared" si="16"/>
        <v>1488.7543905032112</v>
      </c>
      <c r="G80" s="11">
        <f t="shared" si="21"/>
        <v>295313.5939828547</v>
      </c>
      <c r="H80" s="9"/>
      <c r="I80" s="92">
        <f t="shared" si="12"/>
        <v>72</v>
      </c>
      <c r="L80" s="9">
        <v>72</v>
      </c>
      <c r="M80" s="9" t="s">
        <v>38</v>
      </c>
      <c r="N80" s="10">
        <f t="shared" si="17"/>
        <v>2107.09261628104</v>
      </c>
      <c r="O80" s="10">
        <f t="shared" si="18"/>
        <v>624.796964836842</v>
      </c>
      <c r="P80" s="10">
        <f t="shared" si="19"/>
        <v>1482.295651444198</v>
      </c>
      <c r="Q80" s="11">
        <f t="shared" si="20"/>
        <v>298420.24747023993</v>
      </c>
      <c r="S80" s="92">
        <f t="shared" si="13"/>
        <v>72</v>
      </c>
      <c r="V80" s="104"/>
    </row>
    <row r="81" spans="2:22" ht="12.75">
      <c r="B81" s="84">
        <v>73</v>
      </c>
      <c r="C81" s="84" t="s">
        <v>27</v>
      </c>
      <c r="D81" s="85">
        <f t="shared" si="14"/>
        <v>2107.09261628104</v>
      </c>
      <c r="E81" s="85">
        <f t="shared" si="15"/>
        <v>615.2366541309472</v>
      </c>
      <c r="F81" s="85">
        <f t="shared" si="16"/>
        <v>1491.855962150093</v>
      </c>
      <c r="G81" s="86">
        <f t="shared" si="21"/>
        <v>293145.9182641255</v>
      </c>
      <c r="H81" s="68">
        <f>IF((G80-F81)&gt;Energie!S14,Energie!S14,(G80-F81))</f>
        <v>675.8197565791428</v>
      </c>
      <c r="I81" s="92">
        <f t="shared" si="12"/>
        <v>73</v>
      </c>
      <c r="K81">
        <v>6</v>
      </c>
      <c r="L81" s="84">
        <v>73</v>
      </c>
      <c r="M81" s="84" t="s">
        <v>27</v>
      </c>
      <c r="N81" s="85">
        <f t="shared" si="17"/>
        <v>2107.09261628104</v>
      </c>
      <c r="O81" s="85">
        <f t="shared" si="18"/>
        <v>621.7088488963332</v>
      </c>
      <c r="P81" s="85">
        <f t="shared" si="19"/>
        <v>1485.383767384707</v>
      </c>
      <c r="Q81" s="86">
        <f t="shared" si="20"/>
        <v>296934.86370285525</v>
      </c>
      <c r="S81" s="92">
        <f t="shared" si="13"/>
        <v>73</v>
      </c>
      <c r="T81" s="128">
        <f>SUM(N69:N80)</f>
        <v>25285.111395372474</v>
      </c>
      <c r="U81" s="128">
        <f>(SUM(N69:N80)+U69)</f>
        <v>151710.66837223485</v>
      </c>
      <c r="V81" s="104"/>
    </row>
    <row r="82" spans="2:22" ht="12.75">
      <c r="B82" s="9">
        <v>74</v>
      </c>
      <c r="C82" s="9" t="s">
        <v>28</v>
      </c>
      <c r="D82" s="10">
        <f t="shared" si="14"/>
        <v>2107.09261628104</v>
      </c>
      <c r="E82" s="10">
        <f t="shared" si="15"/>
        <v>610.7206630502614</v>
      </c>
      <c r="F82" s="10">
        <f t="shared" si="16"/>
        <v>1496.3719532307787</v>
      </c>
      <c r="G82" s="11">
        <f t="shared" si="21"/>
        <v>291649.5463108947</v>
      </c>
      <c r="H82" s="9"/>
      <c r="I82" s="92">
        <f t="shared" si="12"/>
        <v>74</v>
      </c>
      <c r="L82" s="9">
        <v>74</v>
      </c>
      <c r="M82" s="9" t="s">
        <v>28</v>
      </c>
      <c r="N82" s="10">
        <f t="shared" si="17"/>
        <v>2107.09261628104</v>
      </c>
      <c r="O82" s="10">
        <f t="shared" si="18"/>
        <v>618.6142993809484</v>
      </c>
      <c r="P82" s="10">
        <f t="shared" si="19"/>
        <v>1488.4783169000916</v>
      </c>
      <c r="Q82" s="11">
        <f t="shared" si="20"/>
        <v>295446.38538595516</v>
      </c>
      <c r="S82" s="92">
        <f t="shared" si="13"/>
        <v>74</v>
      </c>
      <c r="V82" s="104"/>
    </row>
    <row r="83" spans="2:22" ht="12.75">
      <c r="B83" s="9">
        <v>75</v>
      </c>
      <c r="C83" s="9" t="s">
        <v>29</v>
      </c>
      <c r="D83" s="10">
        <f t="shared" si="14"/>
        <v>2107.09261628104</v>
      </c>
      <c r="E83" s="10">
        <f t="shared" si="15"/>
        <v>607.6032214810307</v>
      </c>
      <c r="F83" s="10">
        <f t="shared" si="16"/>
        <v>1499.4893948000094</v>
      </c>
      <c r="G83" s="11">
        <f t="shared" si="21"/>
        <v>290150.05691609473</v>
      </c>
      <c r="H83" s="9"/>
      <c r="I83" s="92">
        <f t="shared" si="12"/>
        <v>75</v>
      </c>
      <c r="L83" s="9">
        <v>75</v>
      </c>
      <c r="M83" s="9" t="s">
        <v>29</v>
      </c>
      <c r="N83" s="10">
        <f t="shared" si="17"/>
        <v>2107.09261628104</v>
      </c>
      <c r="O83" s="10">
        <f t="shared" si="18"/>
        <v>615.5133028874067</v>
      </c>
      <c r="P83" s="10">
        <f t="shared" si="19"/>
        <v>1491.5793133936336</v>
      </c>
      <c r="Q83" s="11">
        <f t="shared" si="20"/>
        <v>293954.80607256154</v>
      </c>
      <c r="S83" s="92">
        <f t="shared" si="13"/>
        <v>75</v>
      </c>
      <c r="V83" s="104"/>
    </row>
    <row r="84" spans="2:22" ht="12.75">
      <c r="B84" s="9">
        <v>76</v>
      </c>
      <c r="C84" s="9" t="s">
        <v>30</v>
      </c>
      <c r="D84" s="10">
        <f t="shared" si="14"/>
        <v>2107.09261628104</v>
      </c>
      <c r="E84" s="10">
        <f t="shared" si="15"/>
        <v>604.479285241864</v>
      </c>
      <c r="F84" s="10">
        <f t="shared" si="16"/>
        <v>1502.613331039176</v>
      </c>
      <c r="G84" s="11">
        <f t="shared" si="21"/>
        <v>288647.44358505553</v>
      </c>
      <c r="H84" s="9"/>
      <c r="I84" s="92">
        <f t="shared" si="12"/>
        <v>76</v>
      </c>
      <c r="L84" s="9">
        <v>76</v>
      </c>
      <c r="M84" s="9" t="s">
        <v>30</v>
      </c>
      <c r="N84" s="10">
        <f t="shared" si="17"/>
        <v>2107.09261628104</v>
      </c>
      <c r="O84" s="10">
        <f t="shared" si="18"/>
        <v>612.4058459845032</v>
      </c>
      <c r="P84" s="10">
        <f t="shared" si="19"/>
        <v>1494.686770296537</v>
      </c>
      <c r="Q84" s="11">
        <f t="shared" si="20"/>
        <v>292460.119302265</v>
      </c>
      <c r="S84" s="92">
        <f t="shared" si="13"/>
        <v>76</v>
      </c>
      <c r="V84" s="104"/>
    </row>
    <row r="85" spans="2:22" ht="12.75">
      <c r="B85" s="9">
        <v>77</v>
      </c>
      <c r="C85" s="9" t="s">
        <v>31</v>
      </c>
      <c r="D85" s="10">
        <f t="shared" si="14"/>
        <v>2107.09261628104</v>
      </c>
      <c r="E85" s="10">
        <f t="shared" si="15"/>
        <v>601.3488408021991</v>
      </c>
      <c r="F85" s="10">
        <f t="shared" si="16"/>
        <v>1505.7437754788411</v>
      </c>
      <c r="G85" s="11">
        <f t="shared" si="21"/>
        <v>287141.6998095767</v>
      </c>
      <c r="H85" s="9"/>
      <c r="I85" s="92">
        <f t="shared" si="12"/>
        <v>77</v>
      </c>
      <c r="L85" s="9">
        <v>77</v>
      </c>
      <c r="M85" s="9" t="s">
        <v>31</v>
      </c>
      <c r="N85" s="10">
        <f t="shared" si="17"/>
        <v>2107.09261628104</v>
      </c>
      <c r="O85" s="10">
        <f t="shared" si="18"/>
        <v>609.2919152130521</v>
      </c>
      <c r="P85" s="10">
        <f t="shared" si="19"/>
        <v>1497.800701067988</v>
      </c>
      <c r="Q85" s="11">
        <f t="shared" si="20"/>
        <v>290962.318601197</v>
      </c>
      <c r="S85" s="92">
        <f t="shared" si="13"/>
        <v>77</v>
      </c>
      <c r="V85" s="104"/>
    </row>
    <row r="86" spans="2:22" ht="12.75">
      <c r="B86" s="9">
        <v>78</v>
      </c>
      <c r="C86" s="9" t="s">
        <v>32</v>
      </c>
      <c r="D86" s="10">
        <f t="shared" si="14"/>
        <v>2107.09261628104</v>
      </c>
      <c r="E86" s="10">
        <f t="shared" si="15"/>
        <v>598.2118746032847</v>
      </c>
      <c r="F86" s="10">
        <f t="shared" si="16"/>
        <v>1508.8807416777554</v>
      </c>
      <c r="G86" s="11">
        <f t="shared" si="21"/>
        <v>285632.8190678989</v>
      </c>
      <c r="H86" s="9"/>
      <c r="I86" s="92">
        <f t="shared" si="12"/>
        <v>78</v>
      </c>
      <c r="L86" s="9">
        <v>78</v>
      </c>
      <c r="M86" s="9" t="s">
        <v>32</v>
      </c>
      <c r="N86" s="10">
        <f t="shared" si="17"/>
        <v>2107.09261628104</v>
      </c>
      <c r="O86" s="10">
        <f t="shared" si="18"/>
        <v>606.171497085827</v>
      </c>
      <c r="P86" s="10">
        <f t="shared" si="19"/>
        <v>1500.9211191952131</v>
      </c>
      <c r="Q86" s="11">
        <f t="shared" si="20"/>
        <v>289461.39748200175</v>
      </c>
      <c r="S86" s="92">
        <f t="shared" si="13"/>
        <v>78</v>
      </c>
      <c r="V86" s="104"/>
    </row>
    <row r="87" spans="2:22" ht="12.75">
      <c r="B87" s="9">
        <v>79</v>
      </c>
      <c r="C87" s="9" t="s">
        <v>33</v>
      </c>
      <c r="D87" s="10">
        <f t="shared" si="14"/>
        <v>2107.09261628104</v>
      </c>
      <c r="E87" s="10">
        <f t="shared" si="15"/>
        <v>595.0683730581227</v>
      </c>
      <c r="F87" s="10">
        <f t="shared" si="16"/>
        <v>1512.0242432229174</v>
      </c>
      <c r="G87" s="11">
        <f t="shared" si="21"/>
        <v>284120.794824676</v>
      </c>
      <c r="H87" s="9"/>
      <c r="I87" s="92">
        <f t="shared" si="12"/>
        <v>79</v>
      </c>
      <c r="L87" s="9">
        <v>79</v>
      </c>
      <c r="M87" s="9" t="s">
        <v>33</v>
      </c>
      <c r="N87" s="10">
        <f t="shared" si="17"/>
        <v>2107.09261628104</v>
      </c>
      <c r="O87" s="10">
        <f t="shared" si="18"/>
        <v>603.0445780875037</v>
      </c>
      <c r="P87" s="10">
        <f t="shared" si="19"/>
        <v>1504.0480381935363</v>
      </c>
      <c r="Q87" s="11">
        <f t="shared" si="20"/>
        <v>287957.3494438082</v>
      </c>
      <c r="S87" s="92">
        <f t="shared" si="13"/>
        <v>79</v>
      </c>
      <c r="V87" s="104"/>
    </row>
    <row r="88" spans="2:22" ht="12.75">
      <c r="B88" s="9">
        <v>80</v>
      </c>
      <c r="C88" s="9" t="s">
        <v>34</v>
      </c>
      <c r="D88" s="10">
        <f t="shared" si="14"/>
        <v>2107.09261628104</v>
      </c>
      <c r="E88" s="10">
        <f t="shared" si="15"/>
        <v>591.9183225514083</v>
      </c>
      <c r="F88" s="10">
        <f t="shared" si="16"/>
        <v>1515.1742937296317</v>
      </c>
      <c r="G88" s="11">
        <f t="shared" si="21"/>
        <v>282605.62053094635</v>
      </c>
      <c r="H88" s="9"/>
      <c r="I88" s="92">
        <f t="shared" si="12"/>
        <v>80</v>
      </c>
      <c r="L88" s="9">
        <v>80</v>
      </c>
      <c r="M88" s="9" t="s">
        <v>34</v>
      </c>
      <c r="N88" s="10">
        <f t="shared" si="17"/>
        <v>2107.09261628104</v>
      </c>
      <c r="O88" s="10">
        <f t="shared" si="18"/>
        <v>599.9111446746005</v>
      </c>
      <c r="P88" s="10">
        <f t="shared" si="19"/>
        <v>1507.1814716064396</v>
      </c>
      <c r="Q88" s="11">
        <f t="shared" si="20"/>
        <v>286450.1679722018</v>
      </c>
      <c r="S88" s="92">
        <f t="shared" si="13"/>
        <v>80</v>
      </c>
      <c r="V88" s="104"/>
    </row>
    <row r="89" spans="2:22" ht="12.75">
      <c r="B89" s="9">
        <v>81</v>
      </c>
      <c r="C89" s="9" t="s">
        <v>35</v>
      </c>
      <c r="D89" s="10">
        <f t="shared" si="14"/>
        <v>2107.09261628104</v>
      </c>
      <c r="E89" s="10">
        <f t="shared" si="15"/>
        <v>588.7617094394716</v>
      </c>
      <c r="F89" s="10">
        <f t="shared" si="16"/>
        <v>1518.3309068415685</v>
      </c>
      <c r="G89" s="11">
        <f t="shared" si="21"/>
        <v>281087.2896241048</v>
      </c>
      <c r="H89" s="9"/>
      <c r="I89" s="92">
        <f t="shared" si="12"/>
        <v>81</v>
      </c>
      <c r="L89" s="9">
        <v>81</v>
      </c>
      <c r="M89" s="9" t="s">
        <v>35</v>
      </c>
      <c r="N89" s="10">
        <f t="shared" si="17"/>
        <v>2107.09261628104</v>
      </c>
      <c r="O89" s="10">
        <f t="shared" si="18"/>
        <v>596.7711832754204</v>
      </c>
      <c r="P89" s="10">
        <f t="shared" si="19"/>
        <v>1510.3214330056198</v>
      </c>
      <c r="Q89" s="11">
        <f t="shared" si="20"/>
        <v>284939.84653919615</v>
      </c>
      <c r="S89" s="92">
        <f t="shared" si="13"/>
        <v>81</v>
      </c>
      <c r="V89" s="104"/>
    </row>
    <row r="90" spans="2:22" ht="12.75">
      <c r="B90" s="9">
        <v>82</v>
      </c>
      <c r="C90" s="9" t="s">
        <v>36</v>
      </c>
      <c r="D90" s="10">
        <f t="shared" si="14"/>
        <v>2107.09261628104</v>
      </c>
      <c r="E90" s="10">
        <f t="shared" si="15"/>
        <v>585.5985200502183</v>
      </c>
      <c r="F90" s="10">
        <f t="shared" si="16"/>
        <v>1521.494096230822</v>
      </c>
      <c r="G90" s="11">
        <f t="shared" si="21"/>
        <v>279565.79552787397</v>
      </c>
      <c r="H90" s="9"/>
      <c r="I90" s="92">
        <f t="shared" si="12"/>
        <v>82</v>
      </c>
      <c r="L90" s="9">
        <v>82</v>
      </c>
      <c r="M90" s="9" t="s">
        <v>36</v>
      </c>
      <c r="N90" s="10">
        <f t="shared" si="17"/>
        <v>2107.09261628104</v>
      </c>
      <c r="O90" s="10">
        <f t="shared" si="18"/>
        <v>593.6246802899919</v>
      </c>
      <c r="P90" s="10">
        <f t="shared" si="19"/>
        <v>1513.4679359910483</v>
      </c>
      <c r="Q90" s="11">
        <f t="shared" si="20"/>
        <v>283426.3786032051</v>
      </c>
      <c r="S90" s="92">
        <f t="shared" si="13"/>
        <v>82</v>
      </c>
      <c r="V90" s="104"/>
    </row>
    <row r="91" spans="2:22" ht="12.75">
      <c r="B91" s="9">
        <v>83</v>
      </c>
      <c r="C91" s="9" t="s">
        <v>37</v>
      </c>
      <c r="D91" s="10">
        <f t="shared" si="14"/>
        <v>2107.09261628104</v>
      </c>
      <c r="E91" s="10">
        <f t="shared" si="15"/>
        <v>582.4287406830708</v>
      </c>
      <c r="F91" s="10">
        <f t="shared" si="16"/>
        <v>1524.6638755979693</v>
      </c>
      <c r="G91" s="11">
        <f t="shared" si="21"/>
        <v>278041.131652276</v>
      </c>
      <c r="H91" s="9"/>
      <c r="I91" s="92">
        <f t="shared" si="12"/>
        <v>83</v>
      </c>
      <c r="L91" s="9">
        <v>83</v>
      </c>
      <c r="M91" s="9" t="s">
        <v>37</v>
      </c>
      <c r="N91" s="10">
        <f t="shared" si="17"/>
        <v>2107.09261628104</v>
      </c>
      <c r="O91" s="10">
        <f t="shared" si="18"/>
        <v>590.4716220900106</v>
      </c>
      <c r="P91" s="10">
        <f t="shared" si="19"/>
        <v>1516.6209941910297</v>
      </c>
      <c r="Q91" s="11">
        <f t="shared" si="20"/>
        <v>281909.75760901405</v>
      </c>
      <c r="S91" s="92">
        <f t="shared" si="13"/>
        <v>83</v>
      </c>
      <c r="V91" s="104"/>
    </row>
    <row r="92" spans="2:22" ht="12.75">
      <c r="B92" s="9">
        <v>84</v>
      </c>
      <c r="C92" s="9" t="s">
        <v>38</v>
      </c>
      <c r="D92" s="10">
        <f t="shared" si="14"/>
        <v>2107.09261628104</v>
      </c>
      <c r="E92" s="10">
        <f t="shared" si="15"/>
        <v>579.2523576089083</v>
      </c>
      <c r="F92" s="10">
        <f t="shared" si="16"/>
        <v>1527.8402586721318</v>
      </c>
      <c r="G92" s="11">
        <f t="shared" si="21"/>
        <v>276513.29139360384</v>
      </c>
      <c r="H92" s="9"/>
      <c r="I92" s="92">
        <f t="shared" si="12"/>
        <v>84</v>
      </c>
      <c r="L92" s="9">
        <v>84</v>
      </c>
      <c r="M92" s="9" t="s">
        <v>38</v>
      </c>
      <c r="N92" s="10">
        <f t="shared" si="17"/>
        <v>2107.09261628104</v>
      </c>
      <c r="O92" s="10">
        <f t="shared" si="18"/>
        <v>587.3119950187793</v>
      </c>
      <c r="P92" s="10">
        <f t="shared" si="19"/>
        <v>1519.7806212622609</v>
      </c>
      <c r="Q92" s="11">
        <f t="shared" si="20"/>
        <v>280389.9769877518</v>
      </c>
      <c r="S92" s="92">
        <f t="shared" si="13"/>
        <v>84</v>
      </c>
      <c r="V92" s="104"/>
    </row>
    <row r="93" spans="2:22" ht="12.75">
      <c r="B93" s="84">
        <v>85</v>
      </c>
      <c r="C93" s="84" t="s">
        <v>27</v>
      </c>
      <c r="D93" s="85">
        <f t="shared" si="14"/>
        <v>2107.09261628104</v>
      </c>
      <c r="E93" s="85">
        <f t="shared" si="15"/>
        <v>576.069357070008</v>
      </c>
      <c r="F93" s="85">
        <f t="shared" si="16"/>
        <v>1531.0232592110322</v>
      </c>
      <c r="G93" s="86">
        <f t="shared" si="21"/>
        <v>274270.2065688759</v>
      </c>
      <c r="H93" s="68">
        <f>IF((G92-F93)&gt;Energie!S15,Energie!S15,(G92-F93))</f>
        <v>712.0615655169369</v>
      </c>
      <c r="I93" s="92">
        <f t="shared" si="12"/>
        <v>85</v>
      </c>
      <c r="K93">
        <v>7</v>
      </c>
      <c r="L93" s="84">
        <v>85</v>
      </c>
      <c r="M93" s="84" t="s">
        <v>27</v>
      </c>
      <c r="N93" s="85">
        <f t="shared" si="17"/>
        <v>2107.09261628104</v>
      </c>
      <c r="O93" s="85">
        <f t="shared" si="18"/>
        <v>584.1457853911496</v>
      </c>
      <c r="P93" s="85">
        <f t="shared" si="19"/>
        <v>1522.9468308898904</v>
      </c>
      <c r="Q93" s="86">
        <f t="shared" si="20"/>
        <v>278867.0301568619</v>
      </c>
      <c r="S93" s="92">
        <f t="shared" si="13"/>
        <v>85</v>
      </c>
      <c r="T93" s="128">
        <f>SUM(N81:N92)</f>
        <v>25285.111395372474</v>
      </c>
      <c r="U93" s="128">
        <f>(SUM(N81:N92)+U81)</f>
        <v>176995.77976760734</v>
      </c>
      <c r="V93" s="104"/>
    </row>
    <row r="94" spans="2:22" ht="12.75">
      <c r="B94" s="9">
        <v>86</v>
      </c>
      <c r="C94" s="9" t="s">
        <v>28</v>
      </c>
      <c r="D94" s="10">
        <f t="shared" si="14"/>
        <v>2107.09261628104</v>
      </c>
      <c r="E94" s="10">
        <f t="shared" si="15"/>
        <v>571.396263685158</v>
      </c>
      <c r="F94" s="10">
        <f t="shared" si="16"/>
        <v>1535.6963525958822</v>
      </c>
      <c r="G94" s="11">
        <f t="shared" si="21"/>
        <v>272734.51021628</v>
      </c>
      <c r="H94" s="9"/>
      <c r="I94" s="92">
        <f t="shared" si="12"/>
        <v>86</v>
      </c>
      <c r="L94" s="9">
        <v>86</v>
      </c>
      <c r="M94" s="9" t="s">
        <v>28</v>
      </c>
      <c r="N94" s="10">
        <f t="shared" si="17"/>
        <v>2107.09261628104</v>
      </c>
      <c r="O94" s="10">
        <f t="shared" si="18"/>
        <v>580.9729794934623</v>
      </c>
      <c r="P94" s="10">
        <f t="shared" si="19"/>
        <v>1526.1196367875777</v>
      </c>
      <c r="Q94" s="11">
        <f t="shared" si="20"/>
        <v>277340.9105200743</v>
      </c>
      <c r="S94" s="92">
        <f t="shared" si="13"/>
        <v>86</v>
      </c>
      <c r="V94" s="104"/>
    </row>
    <row r="95" spans="2:22" ht="12.75">
      <c r="B95" s="9">
        <v>87</v>
      </c>
      <c r="C95" s="9" t="s">
        <v>29</v>
      </c>
      <c r="D95" s="10">
        <f t="shared" si="14"/>
        <v>2107.09261628104</v>
      </c>
      <c r="E95" s="10">
        <f t="shared" si="15"/>
        <v>568.1968962839168</v>
      </c>
      <c r="F95" s="10">
        <f t="shared" si="16"/>
        <v>1538.8957199971233</v>
      </c>
      <c r="G95" s="11">
        <f t="shared" si="21"/>
        <v>271195.6144962829</v>
      </c>
      <c r="H95" s="9"/>
      <c r="I95" s="92">
        <f t="shared" si="12"/>
        <v>87</v>
      </c>
      <c r="L95" s="9">
        <v>87</v>
      </c>
      <c r="M95" s="9" t="s">
        <v>29</v>
      </c>
      <c r="N95" s="10">
        <f t="shared" si="17"/>
        <v>2107.09261628104</v>
      </c>
      <c r="O95" s="10">
        <f t="shared" si="18"/>
        <v>577.7935635834881</v>
      </c>
      <c r="P95" s="10">
        <f t="shared" si="19"/>
        <v>1529.299052697552</v>
      </c>
      <c r="Q95" s="11">
        <f t="shared" si="20"/>
        <v>275811.61146737676</v>
      </c>
      <c r="S95" s="92">
        <f t="shared" si="13"/>
        <v>87</v>
      </c>
      <c r="V95" s="104"/>
    </row>
    <row r="96" spans="2:22" ht="12.75">
      <c r="B96" s="9">
        <v>88</v>
      </c>
      <c r="C96" s="9" t="s">
        <v>30</v>
      </c>
      <c r="D96" s="10">
        <f t="shared" si="14"/>
        <v>2107.09261628104</v>
      </c>
      <c r="E96" s="10">
        <f t="shared" si="15"/>
        <v>564.9908635339227</v>
      </c>
      <c r="F96" s="10">
        <f t="shared" si="16"/>
        <v>1542.1017527471174</v>
      </c>
      <c r="G96" s="11">
        <f t="shared" si="21"/>
        <v>269653.51274353574</v>
      </c>
      <c r="H96" s="9"/>
      <c r="I96" s="92">
        <f t="shared" si="12"/>
        <v>88</v>
      </c>
      <c r="L96" s="9">
        <v>88</v>
      </c>
      <c r="M96" s="9" t="s">
        <v>30</v>
      </c>
      <c r="N96" s="10">
        <f t="shared" si="17"/>
        <v>2107.09261628104</v>
      </c>
      <c r="O96" s="10">
        <f t="shared" si="18"/>
        <v>574.6075238903683</v>
      </c>
      <c r="P96" s="10">
        <f t="shared" si="19"/>
        <v>1532.485092390672</v>
      </c>
      <c r="Q96" s="11">
        <f t="shared" si="20"/>
        <v>274279.1263749861</v>
      </c>
      <c r="S96" s="92">
        <f t="shared" si="13"/>
        <v>88</v>
      </c>
      <c r="V96" s="104"/>
    </row>
    <row r="97" spans="2:22" ht="12.75">
      <c r="B97" s="9">
        <v>89</v>
      </c>
      <c r="C97" s="9" t="s">
        <v>31</v>
      </c>
      <c r="D97" s="10">
        <f t="shared" si="14"/>
        <v>2107.09261628104</v>
      </c>
      <c r="E97" s="10">
        <f t="shared" si="15"/>
        <v>561.7781515490328</v>
      </c>
      <c r="F97" s="10">
        <f t="shared" si="16"/>
        <v>1545.3144647320073</v>
      </c>
      <c r="G97" s="11">
        <f t="shared" si="21"/>
        <v>268108.1982788037</v>
      </c>
      <c r="H97" s="9"/>
      <c r="I97" s="92">
        <f t="shared" si="12"/>
        <v>89</v>
      </c>
      <c r="L97" s="9">
        <v>89</v>
      </c>
      <c r="M97" s="9" t="s">
        <v>31</v>
      </c>
      <c r="N97" s="10">
        <f t="shared" si="17"/>
        <v>2107.09261628104</v>
      </c>
      <c r="O97" s="10">
        <f t="shared" si="18"/>
        <v>571.4148466145543</v>
      </c>
      <c r="P97" s="10">
        <f t="shared" si="19"/>
        <v>1535.6777696664858</v>
      </c>
      <c r="Q97" s="11">
        <f t="shared" si="20"/>
        <v>272743.4486053196</v>
      </c>
      <c r="S97" s="92">
        <f t="shared" si="13"/>
        <v>89</v>
      </c>
      <c r="V97" s="104"/>
    </row>
    <row r="98" spans="2:22" ht="12.75">
      <c r="B98" s="9">
        <v>90</v>
      </c>
      <c r="C98" s="9" t="s">
        <v>32</v>
      </c>
      <c r="D98" s="10">
        <f t="shared" si="14"/>
        <v>2107.09261628104</v>
      </c>
      <c r="E98" s="10">
        <f t="shared" si="15"/>
        <v>558.5587464141744</v>
      </c>
      <c r="F98" s="10">
        <f t="shared" si="16"/>
        <v>1548.5338698668656</v>
      </c>
      <c r="G98" s="11">
        <f t="shared" si="21"/>
        <v>266559.66440893686</v>
      </c>
      <c r="H98" s="9"/>
      <c r="I98" s="92">
        <f t="shared" si="12"/>
        <v>90</v>
      </c>
      <c r="L98" s="9">
        <v>90</v>
      </c>
      <c r="M98" s="9" t="s">
        <v>32</v>
      </c>
      <c r="N98" s="10">
        <f t="shared" si="17"/>
        <v>2107.09261628104</v>
      </c>
      <c r="O98" s="10">
        <f t="shared" si="18"/>
        <v>568.2155179277491</v>
      </c>
      <c r="P98" s="10">
        <f t="shared" si="19"/>
        <v>1538.8770983532909</v>
      </c>
      <c r="Q98" s="11">
        <f t="shared" si="20"/>
        <v>271204.5715069663</v>
      </c>
      <c r="S98" s="92">
        <f t="shared" si="13"/>
        <v>90</v>
      </c>
      <c r="V98" s="104"/>
    </row>
    <row r="99" spans="2:22" ht="12.75">
      <c r="B99" s="9">
        <v>91</v>
      </c>
      <c r="C99" s="9" t="s">
        <v>33</v>
      </c>
      <c r="D99" s="10">
        <f t="shared" si="14"/>
        <v>2107.09261628104</v>
      </c>
      <c r="E99" s="10">
        <f t="shared" si="15"/>
        <v>555.3326341852851</v>
      </c>
      <c r="F99" s="10">
        <f t="shared" si="16"/>
        <v>1551.759982095755</v>
      </c>
      <c r="G99" s="11">
        <f t="shared" si="21"/>
        <v>265007.9044268411</v>
      </c>
      <c r="H99" s="9"/>
      <c r="I99" s="92">
        <f t="shared" si="12"/>
        <v>91</v>
      </c>
      <c r="L99" s="9">
        <v>91</v>
      </c>
      <c r="M99" s="9" t="s">
        <v>33</v>
      </c>
      <c r="N99" s="10">
        <f t="shared" si="17"/>
        <v>2107.09261628104</v>
      </c>
      <c r="O99" s="10">
        <f t="shared" si="18"/>
        <v>565.0095239728465</v>
      </c>
      <c r="P99" s="10">
        <f t="shared" si="19"/>
        <v>1542.0830923081935</v>
      </c>
      <c r="Q99" s="11">
        <f t="shared" si="20"/>
        <v>269662.4884146581</v>
      </c>
      <c r="S99" s="92">
        <f t="shared" si="13"/>
        <v>91</v>
      </c>
      <c r="V99" s="104"/>
    </row>
    <row r="100" spans="2:22" ht="12.75">
      <c r="B100" s="9">
        <v>92</v>
      </c>
      <c r="C100" s="9" t="s">
        <v>34</v>
      </c>
      <c r="D100" s="10">
        <f t="shared" si="14"/>
        <v>2107.09261628104</v>
      </c>
      <c r="E100" s="10">
        <f t="shared" si="15"/>
        <v>552.0998008892524</v>
      </c>
      <c r="F100" s="10">
        <f t="shared" si="16"/>
        <v>1554.9928153917876</v>
      </c>
      <c r="G100" s="11">
        <f t="shared" si="21"/>
        <v>263452.9116114493</v>
      </c>
      <c r="H100" s="9"/>
      <c r="I100" s="92">
        <f t="shared" si="12"/>
        <v>92</v>
      </c>
      <c r="L100" s="9">
        <v>92</v>
      </c>
      <c r="M100" s="9" t="s">
        <v>34</v>
      </c>
      <c r="N100" s="10">
        <f t="shared" si="17"/>
        <v>2107.09261628104</v>
      </c>
      <c r="O100" s="10">
        <f t="shared" si="18"/>
        <v>561.7968508638711</v>
      </c>
      <c r="P100" s="10">
        <f t="shared" si="19"/>
        <v>1545.2957654171692</v>
      </c>
      <c r="Q100" s="11">
        <f t="shared" si="20"/>
        <v>268117.19264924095</v>
      </c>
      <c r="S100" s="92">
        <f t="shared" si="13"/>
        <v>92</v>
      </c>
      <c r="V100" s="104"/>
    </row>
    <row r="101" spans="2:22" ht="12.75">
      <c r="B101" s="9">
        <v>93</v>
      </c>
      <c r="C101" s="9" t="s">
        <v>35</v>
      </c>
      <c r="D101" s="10">
        <f t="shared" si="14"/>
        <v>2107.09261628104</v>
      </c>
      <c r="E101" s="10">
        <f t="shared" si="15"/>
        <v>548.8602325238527</v>
      </c>
      <c r="F101" s="10">
        <f t="shared" si="16"/>
        <v>1558.2323837571876</v>
      </c>
      <c r="G101" s="11">
        <f t="shared" si="21"/>
        <v>261894.67922769213</v>
      </c>
      <c r="H101" s="9"/>
      <c r="I101" s="92">
        <f t="shared" si="12"/>
        <v>93</v>
      </c>
      <c r="L101" s="9">
        <v>93</v>
      </c>
      <c r="M101" s="9" t="s">
        <v>35</v>
      </c>
      <c r="N101" s="10">
        <f t="shared" si="17"/>
        <v>2107.09261628104</v>
      </c>
      <c r="O101" s="10">
        <f t="shared" si="18"/>
        <v>558.5774846859186</v>
      </c>
      <c r="P101" s="10">
        <f t="shared" si="19"/>
        <v>1548.5151315951216</v>
      </c>
      <c r="Q101" s="11">
        <f t="shared" si="20"/>
        <v>266568.6775176458</v>
      </c>
      <c r="S101" s="92">
        <f t="shared" si="13"/>
        <v>93</v>
      </c>
      <c r="V101" s="104"/>
    </row>
    <row r="102" spans="2:22" ht="12.75">
      <c r="B102" s="9">
        <v>94</v>
      </c>
      <c r="C102" s="9" t="s">
        <v>36</v>
      </c>
      <c r="D102" s="10">
        <f t="shared" si="14"/>
        <v>2107.09261628104</v>
      </c>
      <c r="E102" s="10">
        <f t="shared" si="15"/>
        <v>545.613915057692</v>
      </c>
      <c r="F102" s="10">
        <f t="shared" si="16"/>
        <v>1561.4787012233483</v>
      </c>
      <c r="G102" s="11">
        <f t="shared" si="21"/>
        <v>260333.20052646878</v>
      </c>
      <c r="H102" s="9"/>
      <c r="I102" s="92">
        <f t="shared" si="12"/>
        <v>94</v>
      </c>
      <c r="L102" s="9">
        <v>94</v>
      </c>
      <c r="M102" s="9" t="s">
        <v>36</v>
      </c>
      <c r="N102" s="10">
        <f t="shared" si="17"/>
        <v>2107.09261628104</v>
      </c>
      <c r="O102" s="10">
        <f t="shared" si="18"/>
        <v>555.3514114950955</v>
      </c>
      <c r="P102" s="10">
        <f t="shared" si="19"/>
        <v>1551.7412047859448</v>
      </c>
      <c r="Q102" s="11">
        <f t="shared" si="20"/>
        <v>265016.9363128599</v>
      </c>
      <c r="S102" s="92">
        <f t="shared" si="13"/>
        <v>94</v>
      </c>
      <c r="V102" s="104"/>
    </row>
    <row r="103" spans="2:22" ht="12.75">
      <c r="B103" s="9">
        <v>95</v>
      </c>
      <c r="C103" s="9" t="s">
        <v>37</v>
      </c>
      <c r="D103" s="10">
        <f t="shared" si="14"/>
        <v>2107.09261628104</v>
      </c>
      <c r="E103" s="10">
        <f t="shared" si="15"/>
        <v>542.3608344301433</v>
      </c>
      <c r="F103" s="10">
        <f t="shared" si="16"/>
        <v>1564.7317818508968</v>
      </c>
      <c r="G103" s="11">
        <f t="shared" si="21"/>
        <v>258768.4687446179</v>
      </c>
      <c r="H103" s="9"/>
      <c r="I103" s="92">
        <f t="shared" si="12"/>
        <v>95</v>
      </c>
      <c r="L103" s="9">
        <v>95</v>
      </c>
      <c r="M103" s="9" t="s">
        <v>37</v>
      </c>
      <c r="N103" s="10">
        <f t="shared" si="17"/>
        <v>2107.09261628104</v>
      </c>
      <c r="O103" s="10">
        <f t="shared" si="18"/>
        <v>552.1186173184582</v>
      </c>
      <c r="P103" s="10">
        <f t="shared" si="19"/>
        <v>1554.9739989625818</v>
      </c>
      <c r="Q103" s="11">
        <f t="shared" si="20"/>
        <v>263461.96231389727</v>
      </c>
      <c r="S103" s="92">
        <f t="shared" si="13"/>
        <v>95</v>
      </c>
      <c r="V103" s="104"/>
    </row>
    <row r="104" spans="2:22" ht="12.75">
      <c r="B104" s="9">
        <v>96</v>
      </c>
      <c r="C104" s="9" t="s">
        <v>38</v>
      </c>
      <c r="D104" s="10">
        <f t="shared" si="14"/>
        <v>2107.09261628104</v>
      </c>
      <c r="E104" s="10">
        <f t="shared" si="15"/>
        <v>539.1009765512873</v>
      </c>
      <c r="F104" s="10">
        <f t="shared" si="16"/>
        <v>1567.991639729753</v>
      </c>
      <c r="G104" s="11">
        <f t="shared" si="21"/>
        <v>257200.47710488812</v>
      </c>
      <c r="H104" s="9"/>
      <c r="I104" s="92">
        <f t="shared" si="12"/>
        <v>96</v>
      </c>
      <c r="L104" s="9">
        <v>96</v>
      </c>
      <c r="M104" s="9" t="s">
        <v>38</v>
      </c>
      <c r="N104" s="10">
        <f t="shared" si="17"/>
        <v>2107.09261628104</v>
      </c>
      <c r="O104" s="10">
        <f t="shared" si="18"/>
        <v>548.8790881539527</v>
      </c>
      <c r="P104" s="10">
        <f t="shared" si="19"/>
        <v>1558.2135281270876</v>
      </c>
      <c r="Q104" s="11">
        <f t="shared" si="20"/>
        <v>261903.74878577018</v>
      </c>
      <c r="S104" s="92">
        <f t="shared" si="13"/>
        <v>96</v>
      </c>
      <c r="V104" s="104"/>
    </row>
    <row r="105" spans="2:22" ht="12.75">
      <c r="B105" s="84">
        <v>97</v>
      </c>
      <c r="C105" s="84" t="s">
        <v>27</v>
      </c>
      <c r="D105" s="85">
        <f t="shared" si="14"/>
        <v>2107.09261628104</v>
      </c>
      <c r="E105" s="85">
        <f t="shared" si="15"/>
        <v>535.8343273018503</v>
      </c>
      <c r="F105" s="85">
        <f t="shared" si="16"/>
        <v>1571.2582889791897</v>
      </c>
      <c r="G105" s="86">
        <f t="shared" si="21"/>
        <v>254879.06658869068</v>
      </c>
      <c r="H105" s="68">
        <f>IF((G104-F105)&gt;Energie!S16,Energie!S16,(G104-F105))</f>
        <v>750.1522272182531</v>
      </c>
      <c r="I105" s="92">
        <f t="shared" si="12"/>
        <v>97</v>
      </c>
      <c r="K105">
        <v>8</v>
      </c>
      <c r="L105" s="84">
        <v>97</v>
      </c>
      <c r="M105" s="84" t="s">
        <v>27</v>
      </c>
      <c r="N105" s="85">
        <f t="shared" si="17"/>
        <v>2107.09261628104</v>
      </c>
      <c r="O105" s="85">
        <f t="shared" si="18"/>
        <v>545.6328099703545</v>
      </c>
      <c r="P105" s="85">
        <f t="shared" si="19"/>
        <v>1561.4598063106855</v>
      </c>
      <c r="Q105" s="86">
        <f t="shared" si="20"/>
        <v>260342.2889794595</v>
      </c>
      <c r="S105" s="92">
        <f t="shared" si="13"/>
        <v>97</v>
      </c>
      <c r="T105" s="128">
        <f>SUM(N93:N104)</f>
        <v>25285.111395372474</v>
      </c>
      <c r="U105" s="128">
        <f>(SUM(N93:N104)+U93)</f>
        <v>202280.89116297982</v>
      </c>
      <c r="V105" s="104"/>
    </row>
    <row r="106" spans="2:22" ht="12.75">
      <c r="B106" s="9">
        <v>98</v>
      </c>
      <c r="C106" s="9" t="s">
        <v>28</v>
      </c>
      <c r="D106" s="10">
        <f t="shared" si="14"/>
        <v>2107.09261628104</v>
      </c>
      <c r="E106" s="10">
        <f t="shared" si="15"/>
        <v>530.9980553931056</v>
      </c>
      <c r="F106" s="10">
        <f t="shared" si="16"/>
        <v>1576.0945608879347</v>
      </c>
      <c r="G106" s="11">
        <f t="shared" si="21"/>
        <v>253302.97202780275</v>
      </c>
      <c r="H106" s="9"/>
      <c r="I106" s="92">
        <f t="shared" si="12"/>
        <v>98</v>
      </c>
      <c r="L106" s="9">
        <v>98</v>
      </c>
      <c r="M106" s="9" t="s">
        <v>28</v>
      </c>
      <c r="N106" s="10">
        <f t="shared" si="17"/>
        <v>2107.09261628104</v>
      </c>
      <c r="O106" s="10">
        <f t="shared" si="18"/>
        <v>542.3797687072073</v>
      </c>
      <c r="P106" s="10">
        <f t="shared" si="19"/>
        <v>1564.7128475738327</v>
      </c>
      <c r="Q106" s="11">
        <f t="shared" si="20"/>
        <v>258777.57613188567</v>
      </c>
      <c r="S106" s="92">
        <f t="shared" si="13"/>
        <v>98</v>
      </c>
      <c r="V106" s="104"/>
    </row>
    <row r="107" spans="2:22" ht="12.75">
      <c r="B107" s="9">
        <v>99</v>
      </c>
      <c r="C107" s="9" t="s">
        <v>29</v>
      </c>
      <c r="D107" s="10">
        <f t="shared" si="14"/>
        <v>2107.09261628104</v>
      </c>
      <c r="E107" s="10">
        <f t="shared" si="15"/>
        <v>527.7145250579224</v>
      </c>
      <c r="F107" s="10">
        <f t="shared" si="16"/>
        <v>1579.3780912231177</v>
      </c>
      <c r="G107" s="11">
        <f t="shared" si="21"/>
        <v>251723.59393657962</v>
      </c>
      <c r="H107" s="9"/>
      <c r="I107" s="92">
        <f t="shared" si="12"/>
        <v>99</v>
      </c>
      <c r="L107" s="9">
        <v>99</v>
      </c>
      <c r="M107" s="9" t="s">
        <v>29</v>
      </c>
      <c r="N107" s="10">
        <f t="shared" si="17"/>
        <v>2107.09261628104</v>
      </c>
      <c r="O107" s="10">
        <f t="shared" si="18"/>
        <v>539.1199502747619</v>
      </c>
      <c r="P107" s="10">
        <f t="shared" si="19"/>
        <v>1567.9726660062784</v>
      </c>
      <c r="Q107" s="11">
        <f t="shared" si="20"/>
        <v>257209.6034658794</v>
      </c>
      <c r="S107" s="92">
        <f t="shared" si="13"/>
        <v>99</v>
      </c>
      <c r="V107" s="104"/>
    </row>
    <row r="108" spans="2:22" ht="12.75">
      <c r="B108" s="9">
        <v>100</v>
      </c>
      <c r="C108" s="9" t="s">
        <v>30</v>
      </c>
      <c r="D108" s="10">
        <f t="shared" si="14"/>
        <v>2107.09261628104</v>
      </c>
      <c r="E108" s="10">
        <f t="shared" si="15"/>
        <v>524.424154034541</v>
      </c>
      <c r="F108" s="10">
        <f t="shared" si="16"/>
        <v>1582.668462246499</v>
      </c>
      <c r="G108" s="11">
        <f t="shared" si="21"/>
        <v>250140.9254743331</v>
      </c>
      <c r="H108" s="9"/>
      <c r="I108" s="92">
        <f t="shared" si="12"/>
        <v>100</v>
      </c>
      <c r="L108" s="9">
        <v>100</v>
      </c>
      <c r="M108" s="9" t="s">
        <v>30</v>
      </c>
      <c r="N108" s="10">
        <f t="shared" si="17"/>
        <v>2107.09261628104</v>
      </c>
      <c r="O108" s="10">
        <f t="shared" si="18"/>
        <v>535.8533405539155</v>
      </c>
      <c r="P108" s="10">
        <f t="shared" si="19"/>
        <v>1571.2392757271246</v>
      </c>
      <c r="Q108" s="11">
        <f t="shared" si="20"/>
        <v>255638.36419015226</v>
      </c>
      <c r="S108" s="92">
        <f t="shared" si="13"/>
        <v>100</v>
      </c>
      <c r="V108" s="104"/>
    </row>
    <row r="109" spans="2:22" ht="12.75">
      <c r="B109" s="9">
        <v>101</v>
      </c>
      <c r="C109" s="9" t="s">
        <v>31</v>
      </c>
      <c r="D109" s="10">
        <f t="shared" si="14"/>
        <v>2107.09261628104</v>
      </c>
      <c r="E109" s="10">
        <f t="shared" si="15"/>
        <v>521.1269280715273</v>
      </c>
      <c r="F109" s="10">
        <f t="shared" si="16"/>
        <v>1585.9656882095128</v>
      </c>
      <c r="G109" s="11">
        <f t="shared" si="21"/>
        <v>248554.9597861236</v>
      </c>
      <c r="H109" s="9"/>
      <c r="I109" s="92">
        <f aca="true" t="shared" si="22" ref="I109:I172">IF(E109&gt;0,B109,"")</f>
        <v>101</v>
      </c>
      <c r="L109" s="9">
        <v>101</v>
      </c>
      <c r="M109" s="9" t="s">
        <v>31</v>
      </c>
      <c r="N109" s="10">
        <f t="shared" si="17"/>
        <v>2107.09261628104</v>
      </c>
      <c r="O109" s="10">
        <f t="shared" si="18"/>
        <v>532.5799253961505</v>
      </c>
      <c r="P109" s="10">
        <f t="shared" si="19"/>
        <v>1574.5126908848897</v>
      </c>
      <c r="Q109" s="11">
        <f t="shared" si="20"/>
        <v>254063.8514992674</v>
      </c>
      <c r="S109" s="92">
        <f t="shared" si="13"/>
        <v>101</v>
      </c>
      <c r="V109" s="104"/>
    </row>
    <row r="110" spans="2:22" ht="12.75">
      <c r="B110" s="9">
        <v>102</v>
      </c>
      <c r="C110" s="9" t="s">
        <v>32</v>
      </c>
      <c r="D110" s="10">
        <f t="shared" si="14"/>
        <v>2107.09261628104</v>
      </c>
      <c r="E110" s="10">
        <f t="shared" si="15"/>
        <v>517.8228328877575</v>
      </c>
      <c r="F110" s="10">
        <f t="shared" si="16"/>
        <v>1589.2697833932825</v>
      </c>
      <c r="G110" s="11">
        <f t="shared" si="21"/>
        <v>246965.69000273032</v>
      </c>
      <c r="H110" s="9"/>
      <c r="I110" s="92">
        <f t="shared" si="22"/>
        <v>102</v>
      </c>
      <c r="L110" s="9">
        <v>102</v>
      </c>
      <c r="M110" s="9" t="s">
        <v>32</v>
      </c>
      <c r="N110" s="10">
        <f t="shared" si="17"/>
        <v>2107.09261628104</v>
      </c>
      <c r="O110" s="10">
        <f t="shared" si="18"/>
        <v>529.2996906234737</v>
      </c>
      <c r="P110" s="10">
        <f t="shared" si="19"/>
        <v>1577.7929256575665</v>
      </c>
      <c r="Q110" s="11">
        <f t="shared" si="20"/>
        <v>252486.05857360983</v>
      </c>
      <c r="S110" s="92">
        <f t="shared" si="13"/>
        <v>102</v>
      </c>
      <c r="V110" s="104"/>
    </row>
    <row r="111" spans="2:22" ht="12.75">
      <c r="B111" s="9">
        <v>103</v>
      </c>
      <c r="C111" s="9" t="s">
        <v>33</v>
      </c>
      <c r="D111" s="10">
        <f t="shared" si="14"/>
        <v>2107.09261628104</v>
      </c>
      <c r="E111" s="10">
        <f t="shared" si="15"/>
        <v>514.5118541723548</v>
      </c>
      <c r="F111" s="10">
        <f t="shared" si="16"/>
        <v>1592.5807621086853</v>
      </c>
      <c r="G111" s="11">
        <f t="shared" si="21"/>
        <v>245373.10924062165</v>
      </c>
      <c r="H111" s="9"/>
      <c r="I111" s="92">
        <f t="shared" si="22"/>
        <v>103</v>
      </c>
      <c r="L111" s="9">
        <v>103</v>
      </c>
      <c r="M111" s="9" t="s">
        <v>33</v>
      </c>
      <c r="N111" s="10">
        <f t="shared" si="17"/>
        <v>2107.09261628104</v>
      </c>
      <c r="O111" s="10">
        <f t="shared" si="18"/>
        <v>526.0126220283538</v>
      </c>
      <c r="P111" s="10">
        <f t="shared" si="19"/>
        <v>1581.0799942526864</v>
      </c>
      <c r="Q111" s="11">
        <f t="shared" si="20"/>
        <v>250904.97857935715</v>
      </c>
      <c r="S111" s="92">
        <f t="shared" si="13"/>
        <v>103</v>
      </c>
      <c r="V111" s="104"/>
    </row>
    <row r="112" spans="2:22" ht="12.75">
      <c r="B112" s="9">
        <v>104</v>
      </c>
      <c r="C112" s="9" t="s">
        <v>34</v>
      </c>
      <c r="D112" s="10">
        <f t="shared" si="14"/>
        <v>2107.09261628104</v>
      </c>
      <c r="E112" s="10">
        <f t="shared" si="15"/>
        <v>511.1939775846285</v>
      </c>
      <c r="F112" s="10">
        <f t="shared" si="16"/>
        <v>1595.8986386964116</v>
      </c>
      <c r="G112" s="11">
        <f t="shared" si="21"/>
        <v>243777.21060192524</v>
      </c>
      <c r="H112" s="9"/>
      <c r="I112" s="92">
        <f t="shared" si="22"/>
        <v>104</v>
      </c>
      <c r="L112" s="9">
        <v>104</v>
      </c>
      <c r="M112" s="9" t="s">
        <v>34</v>
      </c>
      <c r="N112" s="10">
        <f t="shared" si="17"/>
        <v>2107.09261628104</v>
      </c>
      <c r="O112" s="10">
        <f t="shared" si="18"/>
        <v>522.7187053736608</v>
      </c>
      <c r="P112" s="10">
        <f t="shared" si="19"/>
        <v>1584.3739109073795</v>
      </c>
      <c r="Q112" s="11">
        <f t="shared" si="20"/>
        <v>249320.60466844979</v>
      </c>
      <c r="S112" s="92">
        <f t="shared" si="13"/>
        <v>104</v>
      </c>
      <c r="V112" s="104"/>
    </row>
    <row r="113" spans="2:22" ht="12.75">
      <c r="B113" s="9">
        <v>105</v>
      </c>
      <c r="C113" s="9" t="s">
        <v>35</v>
      </c>
      <c r="D113" s="10">
        <f t="shared" si="14"/>
        <v>2107.09261628104</v>
      </c>
      <c r="E113" s="10">
        <f t="shared" si="15"/>
        <v>507.86918875401096</v>
      </c>
      <c r="F113" s="10">
        <f t="shared" si="16"/>
        <v>1599.2234275270291</v>
      </c>
      <c r="G113" s="11">
        <f t="shared" si="21"/>
        <v>242177.9871743982</v>
      </c>
      <c r="H113" s="9"/>
      <c r="I113" s="92">
        <f t="shared" si="22"/>
        <v>105</v>
      </c>
      <c r="L113" s="9">
        <v>105</v>
      </c>
      <c r="M113" s="9" t="s">
        <v>35</v>
      </c>
      <c r="N113" s="10">
        <f t="shared" si="17"/>
        <v>2107.09261628104</v>
      </c>
      <c r="O113" s="10">
        <f t="shared" si="18"/>
        <v>519.4179263926037</v>
      </c>
      <c r="P113" s="10">
        <f t="shared" si="19"/>
        <v>1587.6746898884364</v>
      </c>
      <c r="Q113" s="11">
        <f t="shared" si="20"/>
        <v>247732.92997856135</v>
      </c>
      <c r="S113" s="92">
        <f t="shared" si="13"/>
        <v>105</v>
      </c>
      <c r="V113" s="104"/>
    </row>
    <row r="114" spans="2:22" ht="12.75">
      <c r="B114" s="9">
        <v>106</v>
      </c>
      <c r="C114" s="9" t="s">
        <v>36</v>
      </c>
      <c r="D114" s="10">
        <f t="shared" si="14"/>
        <v>2107.09261628104</v>
      </c>
      <c r="E114" s="10">
        <f t="shared" si="15"/>
        <v>504.5374732799962</v>
      </c>
      <c r="F114" s="10">
        <f t="shared" si="16"/>
        <v>1602.555143001044</v>
      </c>
      <c r="G114" s="11">
        <f t="shared" si="21"/>
        <v>240575.43203139715</v>
      </c>
      <c r="H114" s="9"/>
      <c r="I114" s="92">
        <f t="shared" si="22"/>
        <v>106</v>
      </c>
      <c r="L114" s="9">
        <v>106</v>
      </c>
      <c r="M114" s="9" t="s">
        <v>36</v>
      </c>
      <c r="N114" s="10">
        <f t="shared" si="17"/>
        <v>2107.09261628104</v>
      </c>
      <c r="O114" s="10">
        <f t="shared" si="18"/>
        <v>516.1102707886695</v>
      </c>
      <c r="P114" s="10">
        <f t="shared" si="19"/>
        <v>1590.9823454923708</v>
      </c>
      <c r="Q114" s="11">
        <f t="shared" si="20"/>
        <v>246141.94763306898</v>
      </c>
      <c r="S114" s="92">
        <f t="shared" si="13"/>
        <v>106</v>
      </c>
      <c r="V114" s="104"/>
    </row>
    <row r="115" spans="2:22" ht="12.75">
      <c r="B115" s="9">
        <v>107</v>
      </c>
      <c r="C115" s="9" t="s">
        <v>37</v>
      </c>
      <c r="D115" s="10">
        <f t="shared" si="14"/>
        <v>2107.09261628104</v>
      </c>
      <c r="E115" s="10">
        <f t="shared" si="15"/>
        <v>501.19881673207743</v>
      </c>
      <c r="F115" s="10">
        <f t="shared" si="16"/>
        <v>1605.8937995489628</v>
      </c>
      <c r="G115" s="11">
        <f t="shared" si="21"/>
        <v>238969.5382318482</v>
      </c>
      <c r="H115" s="9"/>
      <c r="I115" s="92">
        <f t="shared" si="22"/>
        <v>107</v>
      </c>
      <c r="L115" s="9">
        <v>107</v>
      </c>
      <c r="M115" s="9" t="s">
        <v>37</v>
      </c>
      <c r="N115" s="10">
        <f t="shared" si="17"/>
        <v>2107.09261628104</v>
      </c>
      <c r="O115" s="10">
        <f t="shared" si="18"/>
        <v>512.7957242355603</v>
      </c>
      <c r="P115" s="10">
        <f t="shared" si="19"/>
        <v>1594.2968920454798</v>
      </c>
      <c r="Q115" s="11">
        <f t="shared" si="20"/>
        <v>244547.6507410235</v>
      </c>
      <c r="S115" s="92">
        <f t="shared" si="13"/>
        <v>107</v>
      </c>
      <c r="V115" s="104"/>
    </row>
    <row r="116" spans="2:22" ht="12.75">
      <c r="B116" s="9">
        <v>108</v>
      </c>
      <c r="C116" s="9" t="s">
        <v>38</v>
      </c>
      <c r="D116" s="10">
        <f t="shared" si="14"/>
        <v>2107.09261628104</v>
      </c>
      <c r="E116" s="10">
        <f t="shared" si="15"/>
        <v>497.8532046496837</v>
      </c>
      <c r="F116" s="10">
        <f t="shared" si="16"/>
        <v>1609.2394116313565</v>
      </c>
      <c r="G116" s="11">
        <f t="shared" si="21"/>
        <v>237360.29882021682</v>
      </c>
      <c r="H116" s="9"/>
      <c r="I116" s="92">
        <f t="shared" si="22"/>
        <v>108</v>
      </c>
      <c r="L116" s="9">
        <v>108</v>
      </c>
      <c r="M116" s="9" t="s">
        <v>38</v>
      </c>
      <c r="N116" s="10">
        <f t="shared" si="17"/>
        <v>2107.09261628104</v>
      </c>
      <c r="O116" s="10">
        <f t="shared" si="18"/>
        <v>509.47427237713237</v>
      </c>
      <c r="P116" s="10">
        <f t="shared" si="19"/>
        <v>1597.6183439039078</v>
      </c>
      <c r="Q116" s="11">
        <f t="shared" si="20"/>
        <v>242950.0323971196</v>
      </c>
      <c r="S116" s="92">
        <f t="shared" si="13"/>
        <v>108</v>
      </c>
      <c r="V116" s="104"/>
    </row>
    <row r="117" spans="2:22" ht="12.75">
      <c r="B117" s="84">
        <v>109</v>
      </c>
      <c r="C117" s="84" t="s">
        <v>27</v>
      </c>
      <c r="D117" s="85">
        <f t="shared" si="14"/>
        <v>2107.09261628104</v>
      </c>
      <c r="E117" s="85">
        <f t="shared" si="15"/>
        <v>494.5006225421184</v>
      </c>
      <c r="F117" s="85">
        <f t="shared" si="16"/>
        <v>1612.5919937389217</v>
      </c>
      <c r="G117" s="86">
        <f t="shared" si="21"/>
        <v>234957.52209072188</v>
      </c>
      <c r="H117" s="68">
        <f>IF((G116-F117)&gt;Energie!S17,Energie!S17,(G116-F117))</f>
        <v>790.1847357560174</v>
      </c>
      <c r="I117" s="92">
        <f t="shared" si="22"/>
        <v>109</v>
      </c>
      <c r="K117">
        <v>9</v>
      </c>
      <c r="L117" s="84">
        <v>109</v>
      </c>
      <c r="M117" s="84" t="s">
        <v>27</v>
      </c>
      <c r="N117" s="85">
        <f t="shared" si="17"/>
        <v>2107.09261628104</v>
      </c>
      <c r="O117" s="85">
        <f t="shared" si="18"/>
        <v>506.14590082733247</v>
      </c>
      <c r="P117" s="85">
        <f t="shared" si="19"/>
        <v>1600.9467154537076</v>
      </c>
      <c r="Q117" s="86">
        <f t="shared" si="20"/>
        <v>241349.0856816659</v>
      </c>
      <c r="S117" s="92">
        <f t="shared" si="13"/>
        <v>109</v>
      </c>
      <c r="T117" s="128">
        <f>SUM(N105:N116)</f>
        <v>25285.111395372474</v>
      </c>
      <c r="U117" s="128">
        <f>(SUM(N105:N116)+U105)</f>
        <v>227566.0025583523</v>
      </c>
      <c r="V117" s="104"/>
    </row>
    <row r="118" spans="2:22" ht="12.75">
      <c r="B118" s="9">
        <v>110</v>
      </c>
      <c r="C118" s="9" t="s">
        <v>28</v>
      </c>
      <c r="D118" s="10">
        <f t="shared" si="14"/>
        <v>2107.09261628104</v>
      </c>
      <c r="E118" s="10">
        <f t="shared" si="15"/>
        <v>489.494837689004</v>
      </c>
      <c r="F118" s="10">
        <f t="shared" si="16"/>
        <v>1617.597778592036</v>
      </c>
      <c r="G118" s="11">
        <f t="shared" si="21"/>
        <v>233339.92431212985</v>
      </c>
      <c r="H118" s="9"/>
      <c r="I118" s="92">
        <f t="shared" si="22"/>
        <v>110</v>
      </c>
      <c r="L118" s="9">
        <v>110</v>
      </c>
      <c r="M118" s="9" t="s">
        <v>28</v>
      </c>
      <c r="N118" s="10">
        <f t="shared" si="17"/>
        <v>2107.09261628104</v>
      </c>
      <c r="O118" s="10">
        <f t="shared" si="18"/>
        <v>502.8105951701373</v>
      </c>
      <c r="P118" s="10">
        <f t="shared" si="19"/>
        <v>1604.2820211109029</v>
      </c>
      <c r="Q118" s="11">
        <f t="shared" si="20"/>
        <v>239744.803660555</v>
      </c>
      <c r="S118" s="92">
        <f t="shared" si="13"/>
        <v>110</v>
      </c>
      <c r="V118" s="104"/>
    </row>
    <row r="119" spans="2:22" ht="12.75">
      <c r="B119" s="9">
        <v>111</v>
      </c>
      <c r="C119" s="9" t="s">
        <v>29</v>
      </c>
      <c r="D119" s="10">
        <f t="shared" si="14"/>
        <v>2107.09261628104</v>
      </c>
      <c r="E119" s="10">
        <f t="shared" si="15"/>
        <v>486.12484231693725</v>
      </c>
      <c r="F119" s="10">
        <f t="shared" si="16"/>
        <v>1620.967773964103</v>
      </c>
      <c r="G119" s="11">
        <f t="shared" si="21"/>
        <v>231718.95653816574</v>
      </c>
      <c r="H119" s="9"/>
      <c r="I119" s="92">
        <f t="shared" si="22"/>
        <v>111</v>
      </c>
      <c r="L119" s="9">
        <v>111</v>
      </c>
      <c r="M119" s="9" t="s">
        <v>29</v>
      </c>
      <c r="N119" s="10">
        <f t="shared" si="17"/>
        <v>2107.09261628104</v>
      </c>
      <c r="O119" s="10">
        <f t="shared" si="18"/>
        <v>499.4683409594896</v>
      </c>
      <c r="P119" s="10">
        <f t="shared" si="19"/>
        <v>1607.6242753215506</v>
      </c>
      <c r="Q119" s="11">
        <f t="shared" si="20"/>
        <v>238137.17938523344</v>
      </c>
      <c r="S119" s="92">
        <f t="shared" si="13"/>
        <v>111</v>
      </c>
      <c r="V119" s="104"/>
    </row>
    <row r="120" spans="2:22" ht="12.75">
      <c r="B120" s="9">
        <v>112</v>
      </c>
      <c r="C120" s="9" t="s">
        <v>30</v>
      </c>
      <c r="D120" s="10">
        <f t="shared" si="14"/>
        <v>2107.09261628104</v>
      </c>
      <c r="E120" s="10">
        <f t="shared" si="15"/>
        <v>482.7478261211786</v>
      </c>
      <c r="F120" s="10">
        <f t="shared" si="16"/>
        <v>1624.3447901598615</v>
      </c>
      <c r="G120" s="11">
        <f t="shared" si="21"/>
        <v>230094.61174800587</v>
      </c>
      <c r="H120" s="9"/>
      <c r="I120" s="92">
        <f t="shared" si="22"/>
        <v>112</v>
      </c>
      <c r="L120" s="9">
        <v>112</v>
      </c>
      <c r="M120" s="9" t="s">
        <v>30</v>
      </c>
      <c r="N120" s="10">
        <f t="shared" si="17"/>
        <v>2107.09261628104</v>
      </c>
      <c r="O120" s="10">
        <f t="shared" si="18"/>
        <v>496.11912371923637</v>
      </c>
      <c r="P120" s="10">
        <f t="shared" si="19"/>
        <v>1610.9734925618038</v>
      </c>
      <c r="Q120" s="11">
        <f t="shared" si="20"/>
        <v>236526.20589267163</v>
      </c>
      <c r="S120" s="92">
        <f t="shared" si="13"/>
        <v>112</v>
      </c>
      <c r="V120" s="104"/>
    </row>
    <row r="121" spans="2:22" ht="12.75">
      <c r="B121" s="9">
        <v>113</v>
      </c>
      <c r="C121" s="9" t="s">
        <v>31</v>
      </c>
      <c r="D121" s="10">
        <f t="shared" si="14"/>
        <v>2107.09261628104</v>
      </c>
      <c r="E121" s="10">
        <f t="shared" si="15"/>
        <v>479.3637744750122</v>
      </c>
      <c r="F121" s="10">
        <f t="shared" si="16"/>
        <v>1627.728841806028</v>
      </c>
      <c r="G121" s="11">
        <f t="shared" si="21"/>
        <v>228466.88290619984</v>
      </c>
      <c r="H121" s="9"/>
      <c r="I121" s="92">
        <f t="shared" si="22"/>
        <v>113</v>
      </c>
      <c r="L121" s="9">
        <v>113</v>
      </c>
      <c r="M121" s="9" t="s">
        <v>31</v>
      </c>
      <c r="N121" s="10">
        <f t="shared" si="17"/>
        <v>2107.09261628104</v>
      </c>
      <c r="O121" s="10">
        <f t="shared" si="18"/>
        <v>492.7629289430659</v>
      </c>
      <c r="P121" s="10">
        <f t="shared" si="19"/>
        <v>1614.3296873379743</v>
      </c>
      <c r="Q121" s="11">
        <f t="shared" si="20"/>
        <v>234911.87620533365</v>
      </c>
      <c r="S121" s="92">
        <f t="shared" si="13"/>
        <v>113</v>
      </c>
      <c r="V121" s="104"/>
    </row>
    <row r="122" spans="2:22" ht="12.75">
      <c r="B122" s="9">
        <v>114</v>
      </c>
      <c r="C122" s="9" t="s">
        <v>32</v>
      </c>
      <c r="D122" s="10">
        <f t="shared" si="14"/>
        <v>2107.09261628104</v>
      </c>
      <c r="E122" s="10">
        <f t="shared" si="15"/>
        <v>475.9726727212497</v>
      </c>
      <c r="F122" s="10">
        <f t="shared" si="16"/>
        <v>1631.1199435597905</v>
      </c>
      <c r="G122" s="11">
        <f t="shared" si="21"/>
        <v>226835.76296264006</v>
      </c>
      <c r="H122" s="9"/>
      <c r="I122" s="92">
        <f t="shared" si="22"/>
        <v>114</v>
      </c>
      <c r="L122" s="9">
        <v>114</v>
      </c>
      <c r="M122" s="9" t="s">
        <v>32</v>
      </c>
      <c r="N122" s="10">
        <f t="shared" si="17"/>
        <v>2107.09261628104</v>
      </c>
      <c r="O122" s="10">
        <f t="shared" si="18"/>
        <v>489.3997420944451</v>
      </c>
      <c r="P122" s="10">
        <f t="shared" si="19"/>
        <v>1617.692874186595</v>
      </c>
      <c r="Q122" s="11">
        <f t="shared" si="20"/>
        <v>233294.18333114707</v>
      </c>
      <c r="S122" s="92">
        <f t="shared" si="13"/>
        <v>114</v>
      </c>
      <c r="V122" s="104"/>
    </row>
    <row r="123" spans="2:22" ht="12.75">
      <c r="B123" s="9">
        <v>115</v>
      </c>
      <c r="C123" s="9" t="s">
        <v>33</v>
      </c>
      <c r="D123" s="10">
        <f t="shared" si="14"/>
        <v>2107.09261628104</v>
      </c>
      <c r="E123" s="10">
        <f t="shared" si="15"/>
        <v>472.57450617216676</v>
      </c>
      <c r="F123" s="10">
        <f t="shared" si="16"/>
        <v>1634.5181101088733</v>
      </c>
      <c r="G123" s="11">
        <f t="shared" si="21"/>
        <v>225201.24485253118</v>
      </c>
      <c r="H123" s="9"/>
      <c r="I123" s="92">
        <f t="shared" si="22"/>
        <v>115</v>
      </c>
      <c r="L123" s="9">
        <v>115</v>
      </c>
      <c r="M123" s="9" t="s">
        <v>33</v>
      </c>
      <c r="N123" s="10">
        <f t="shared" si="17"/>
        <v>2107.09261628104</v>
      </c>
      <c r="O123" s="10">
        <f t="shared" si="18"/>
        <v>486.0295486065564</v>
      </c>
      <c r="P123" s="10">
        <f t="shared" si="19"/>
        <v>1621.0630676744838</v>
      </c>
      <c r="Q123" s="11">
        <f t="shared" si="20"/>
        <v>231673.12026347258</v>
      </c>
      <c r="S123" s="92">
        <f t="shared" si="13"/>
        <v>115</v>
      </c>
      <c r="V123" s="104"/>
    </row>
    <row r="124" spans="2:22" ht="12.75">
      <c r="B124" s="9">
        <v>116</v>
      </c>
      <c r="C124" s="9" t="s">
        <v>34</v>
      </c>
      <c r="D124" s="10">
        <f t="shared" si="14"/>
        <v>2107.09261628104</v>
      </c>
      <c r="E124" s="10">
        <f t="shared" si="15"/>
        <v>469.1692601094399</v>
      </c>
      <c r="F124" s="10">
        <f t="shared" si="16"/>
        <v>1637.9233561716003</v>
      </c>
      <c r="G124" s="11">
        <f t="shared" si="21"/>
        <v>223563.32149635957</v>
      </c>
      <c r="H124" s="9"/>
      <c r="I124" s="92">
        <f t="shared" si="22"/>
        <v>116</v>
      </c>
      <c r="L124" s="9">
        <v>116</v>
      </c>
      <c r="M124" s="9" t="s">
        <v>34</v>
      </c>
      <c r="N124" s="10">
        <f t="shared" si="17"/>
        <v>2107.09261628104</v>
      </c>
      <c r="O124" s="10">
        <f t="shared" si="18"/>
        <v>482.6523338822346</v>
      </c>
      <c r="P124" s="10">
        <f t="shared" si="19"/>
        <v>1624.4402823988055</v>
      </c>
      <c r="Q124" s="11">
        <f t="shared" si="20"/>
        <v>230048.67998107377</v>
      </c>
      <c r="S124" s="92">
        <f t="shared" si="13"/>
        <v>116</v>
      </c>
      <c r="V124" s="104"/>
    </row>
    <row r="125" spans="2:22" ht="12.75">
      <c r="B125" s="9">
        <v>117</v>
      </c>
      <c r="C125" s="9" t="s">
        <v>35</v>
      </c>
      <c r="D125" s="10">
        <f t="shared" si="14"/>
        <v>2107.09261628104</v>
      </c>
      <c r="E125" s="10">
        <f t="shared" si="15"/>
        <v>465.7569197840824</v>
      </c>
      <c r="F125" s="10">
        <f t="shared" si="16"/>
        <v>1641.3356964969578</v>
      </c>
      <c r="G125" s="11">
        <f t="shared" si="21"/>
        <v>221921.9857998626</v>
      </c>
      <c r="H125" s="9"/>
      <c r="I125" s="92">
        <f t="shared" si="22"/>
        <v>117</v>
      </c>
      <c r="L125" s="9">
        <v>117</v>
      </c>
      <c r="M125" s="9" t="s">
        <v>35</v>
      </c>
      <c r="N125" s="10">
        <f t="shared" si="17"/>
        <v>2107.09261628104</v>
      </c>
      <c r="O125" s="10">
        <f t="shared" si="18"/>
        <v>479.26808329390377</v>
      </c>
      <c r="P125" s="10">
        <f t="shared" si="19"/>
        <v>1627.8245329871363</v>
      </c>
      <c r="Q125" s="11">
        <f t="shared" si="20"/>
        <v>228420.85544808663</v>
      </c>
      <c r="S125" s="92">
        <f t="shared" si="13"/>
        <v>117</v>
      </c>
      <c r="V125" s="104"/>
    </row>
    <row r="126" spans="2:22" ht="12.75">
      <c r="B126" s="9">
        <v>118</v>
      </c>
      <c r="C126" s="9" t="s">
        <v>36</v>
      </c>
      <c r="D126" s="10">
        <f t="shared" si="14"/>
        <v>2107.09261628104</v>
      </c>
      <c r="E126" s="10">
        <f t="shared" si="15"/>
        <v>462.3374704163804</v>
      </c>
      <c r="F126" s="10">
        <f t="shared" si="16"/>
        <v>1644.7551458646597</v>
      </c>
      <c r="G126" s="11">
        <f t="shared" si="21"/>
        <v>220277.23065399795</v>
      </c>
      <c r="H126" s="9"/>
      <c r="I126" s="92">
        <f t="shared" si="22"/>
        <v>118</v>
      </c>
      <c r="L126" s="9">
        <v>118</v>
      </c>
      <c r="M126" s="9" t="s">
        <v>36</v>
      </c>
      <c r="N126" s="10">
        <f t="shared" si="17"/>
        <v>2107.09261628104</v>
      </c>
      <c r="O126" s="10">
        <f t="shared" si="18"/>
        <v>475.87678218351385</v>
      </c>
      <c r="P126" s="10">
        <f t="shared" si="19"/>
        <v>1631.2158340975263</v>
      </c>
      <c r="Q126" s="11">
        <f t="shared" si="20"/>
        <v>226789.6396139891</v>
      </c>
      <c r="S126" s="92">
        <f t="shared" si="13"/>
        <v>118</v>
      </c>
      <c r="V126" s="104"/>
    </row>
    <row r="127" spans="2:22" ht="12.75">
      <c r="B127" s="9">
        <v>119</v>
      </c>
      <c r="C127" s="9" t="s">
        <v>37</v>
      </c>
      <c r="D127" s="10">
        <f t="shared" si="14"/>
        <v>2107.09261628104</v>
      </c>
      <c r="E127" s="10">
        <f t="shared" si="15"/>
        <v>458.91089719582914</v>
      </c>
      <c r="F127" s="10">
        <f t="shared" si="16"/>
        <v>1648.181719085211</v>
      </c>
      <c r="G127" s="11">
        <f t="shared" si="21"/>
        <v>218629.04893491275</v>
      </c>
      <c r="H127" s="9"/>
      <c r="I127" s="92">
        <f t="shared" si="22"/>
        <v>119</v>
      </c>
      <c r="L127" s="9">
        <v>119</v>
      </c>
      <c r="M127" s="9" t="s">
        <v>37</v>
      </c>
      <c r="N127" s="10">
        <f t="shared" si="17"/>
        <v>2107.09261628104</v>
      </c>
      <c r="O127" s="10">
        <f t="shared" si="18"/>
        <v>472.4784158624773</v>
      </c>
      <c r="P127" s="10">
        <f t="shared" si="19"/>
        <v>1634.6142004185629</v>
      </c>
      <c r="Q127" s="11">
        <f t="shared" si="20"/>
        <v>225155.02541357055</v>
      </c>
      <c r="S127" s="92">
        <f t="shared" si="13"/>
        <v>119</v>
      </c>
      <c r="V127" s="104"/>
    </row>
    <row r="128" spans="2:22" ht="12.75">
      <c r="B128" s="9">
        <v>120</v>
      </c>
      <c r="C128" s="9" t="s">
        <v>38</v>
      </c>
      <c r="D128" s="10">
        <f t="shared" si="14"/>
        <v>2107.09261628104</v>
      </c>
      <c r="E128" s="10">
        <f t="shared" si="15"/>
        <v>455.47718528106816</v>
      </c>
      <c r="F128" s="10">
        <f t="shared" si="16"/>
        <v>1651.615430999972</v>
      </c>
      <c r="G128" s="11">
        <f t="shared" si="21"/>
        <v>216977.43350391276</v>
      </c>
      <c r="H128" s="9"/>
      <c r="I128" s="92">
        <f t="shared" si="22"/>
        <v>120</v>
      </c>
      <c r="L128" s="9">
        <v>120</v>
      </c>
      <c r="M128" s="9" t="s">
        <v>38</v>
      </c>
      <c r="N128" s="10">
        <f t="shared" si="17"/>
        <v>2107.09261628104</v>
      </c>
      <c r="O128" s="10">
        <f t="shared" si="18"/>
        <v>469.0729696116053</v>
      </c>
      <c r="P128" s="10">
        <f t="shared" si="19"/>
        <v>1638.019646669435</v>
      </c>
      <c r="Q128" s="11">
        <f t="shared" si="20"/>
        <v>223517.0057669011</v>
      </c>
      <c r="S128" s="92">
        <f t="shared" si="13"/>
        <v>120</v>
      </c>
      <c r="V128" s="104"/>
    </row>
    <row r="129" spans="2:22" ht="12.75">
      <c r="B129" s="84">
        <v>121</v>
      </c>
      <c r="C129" s="84" t="s">
        <v>27</v>
      </c>
      <c r="D129" s="85">
        <f t="shared" si="14"/>
        <v>2107.09261628104</v>
      </c>
      <c r="E129" s="85">
        <f t="shared" si="15"/>
        <v>452.0363197998183</v>
      </c>
      <c r="F129" s="85">
        <f t="shared" si="16"/>
        <v>1655.0562964812218</v>
      </c>
      <c r="G129" s="86">
        <f t="shared" si="21"/>
        <v>214490.1204642532</v>
      </c>
      <c r="H129" s="68">
        <f>IF((G128-F129)&gt;Energie!S18,Energie!S18,(G128-F129))</f>
        <v>832.2567431783225</v>
      </c>
      <c r="I129" s="92">
        <f t="shared" si="22"/>
        <v>121</v>
      </c>
      <c r="K129">
        <v>10</v>
      </c>
      <c r="L129" s="84">
        <v>121</v>
      </c>
      <c r="M129" s="84" t="s">
        <v>27</v>
      </c>
      <c r="N129" s="85">
        <f t="shared" si="17"/>
        <v>2107.09261628104</v>
      </c>
      <c r="O129" s="85">
        <f t="shared" si="18"/>
        <v>465.6604286810439</v>
      </c>
      <c r="P129" s="85">
        <f t="shared" si="19"/>
        <v>1641.4321875999963</v>
      </c>
      <c r="Q129" s="86">
        <f t="shared" si="20"/>
        <v>221875.5735793011</v>
      </c>
      <c r="S129" s="92">
        <f t="shared" si="13"/>
        <v>121</v>
      </c>
      <c r="T129" s="128">
        <f>SUM(N117:N128)</f>
        <v>25285.111395372474</v>
      </c>
      <c r="U129" s="128">
        <f>(SUM(N117:N128)+U117)</f>
        <v>252851.1139537248</v>
      </c>
      <c r="V129" s="104"/>
    </row>
    <row r="130" spans="2:22" ht="12.75">
      <c r="B130" s="9">
        <v>122</v>
      </c>
      <c r="C130" s="9" t="s">
        <v>28</v>
      </c>
      <c r="D130" s="10">
        <f t="shared" si="14"/>
        <v>2107.09261628104</v>
      </c>
      <c r="E130" s="10">
        <f t="shared" si="15"/>
        <v>446.8544176338609</v>
      </c>
      <c r="F130" s="10">
        <f t="shared" si="16"/>
        <v>1660.2381986471792</v>
      </c>
      <c r="G130" s="11">
        <f t="shared" si="21"/>
        <v>212829.88226560602</v>
      </c>
      <c r="H130" s="9"/>
      <c r="I130" s="92">
        <f t="shared" si="22"/>
        <v>122</v>
      </c>
      <c r="L130" s="9">
        <v>122</v>
      </c>
      <c r="M130" s="9" t="s">
        <v>28</v>
      </c>
      <c r="N130" s="10">
        <f t="shared" si="17"/>
        <v>2107.09261628104</v>
      </c>
      <c r="O130" s="10">
        <f t="shared" si="18"/>
        <v>462.2407782902106</v>
      </c>
      <c r="P130" s="10">
        <f t="shared" si="19"/>
        <v>1644.8518379908296</v>
      </c>
      <c r="Q130" s="11">
        <f t="shared" si="20"/>
        <v>220230.72174131026</v>
      </c>
      <c r="S130" s="92">
        <f t="shared" si="13"/>
        <v>122</v>
      </c>
      <c r="V130" s="104"/>
    </row>
    <row r="131" spans="2:22" ht="12.75">
      <c r="B131" s="9">
        <v>123</v>
      </c>
      <c r="C131" s="9" t="s">
        <v>29</v>
      </c>
      <c r="D131" s="10">
        <f t="shared" si="14"/>
        <v>2107.09261628104</v>
      </c>
      <c r="E131" s="10">
        <f t="shared" si="15"/>
        <v>443.3955880533458</v>
      </c>
      <c r="F131" s="10">
        <f t="shared" si="16"/>
        <v>1663.6970282276943</v>
      </c>
      <c r="G131" s="11">
        <f t="shared" si="21"/>
        <v>211166.18523737832</v>
      </c>
      <c r="H131" s="9"/>
      <c r="I131" s="92">
        <f t="shared" si="22"/>
        <v>123</v>
      </c>
      <c r="L131" s="9">
        <v>123</v>
      </c>
      <c r="M131" s="9" t="s">
        <v>29</v>
      </c>
      <c r="N131" s="10">
        <f t="shared" si="17"/>
        <v>2107.09261628104</v>
      </c>
      <c r="O131" s="10">
        <f t="shared" si="18"/>
        <v>458.81400362772973</v>
      </c>
      <c r="P131" s="10">
        <f t="shared" si="19"/>
        <v>1648.2786126533103</v>
      </c>
      <c r="Q131" s="11">
        <f t="shared" si="20"/>
        <v>218582.44312865695</v>
      </c>
      <c r="S131" s="92">
        <f t="shared" si="13"/>
        <v>123</v>
      </c>
      <c r="V131" s="104"/>
    </row>
    <row r="132" spans="2:22" ht="12.75">
      <c r="B132" s="9">
        <v>124</v>
      </c>
      <c r="C132" s="9" t="s">
        <v>30</v>
      </c>
      <c r="D132" s="10">
        <f t="shared" si="14"/>
        <v>2107.09261628104</v>
      </c>
      <c r="E132" s="10">
        <f t="shared" si="15"/>
        <v>439.92955257787156</v>
      </c>
      <c r="F132" s="10">
        <f t="shared" si="16"/>
        <v>1667.1630637031685</v>
      </c>
      <c r="G132" s="11">
        <f t="shared" si="21"/>
        <v>209499.02217367516</v>
      </c>
      <c r="H132" s="9"/>
      <c r="I132" s="92">
        <f t="shared" si="22"/>
        <v>124</v>
      </c>
      <c r="L132" s="9">
        <v>124</v>
      </c>
      <c r="M132" s="9" t="s">
        <v>30</v>
      </c>
      <c r="N132" s="10">
        <f t="shared" si="17"/>
        <v>2107.09261628104</v>
      </c>
      <c r="O132" s="10">
        <f t="shared" si="18"/>
        <v>455.38008985136867</v>
      </c>
      <c r="P132" s="10">
        <f t="shared" si="19"/>
        <v>1651.7125264296715</v>
      </c>
      <c r="Q132" s="11">
        <f t="shared" si="20"/>
        <v>216930.73060222727</v>
      </c>
      <c r="S132" s="92">
        <f t="shared" si="13"/>
        <v>124</v>
      </c>
      <c r="V132" s="104"/>
    </row>
    <row r="133" spans="2:22" ht="12.75">
      <c r="B133" s="9">
        <v>125</v>
      </c>
      <c r="C133" s="9" t="s">
        <v>31</v>
      </c>
      <c r="D133" s="10">
        <f t="shared" si="14"/>
        <v>2107.09261628104</v>
      </c>
      <c r="E133" s="10">
        <f t="shared" si="15"/>
        <v>436.45629619515665</v>
      </c>
      <c r="F133" s="10">
        <f t="shared" si="16"/>
        <v>1670.6363200858834</v>
      </c>
      <c r="G133" s="11">
        <f t="shared" si="21"/>
        <v>207828.38585358928</v>
      </c>
      <c r="H133" s="9"/>
      <c r="I133" s="92">
        <f t="shared" si="22"/>
        <v>125</v>
      </c>
      <c r="L133" s="9">
        <v>125</v>
      </c>
      <c r="M133" s="9" t="s">
        <v>31</v>
      </c>
      <c r="N133" s="10">
        <f t="shared" si="17"/>
        <v>2107.09261628104</v>
      </c>
      <c r="O133" s="10">
        <f t="shared" si="18"/>
        <v>451.93902208797346</v>
      </c>
      <c r="P133" s="10">
        <f t="shared" si="19"/>
        <v>1655.1535941930667</v>
      </c>
      <c r="Q133" s="11">
        <f t="shared" si="20"/>
        <v>215275.5770080342</v>
      </c>
      <c r="S133" s="92">
        <f t="shared" si="13"/>
        <v>125</v>
      </c>
      <c r="V133" s="104"/>
    </row>
    <row r="134" spans="2:22" ht="12.75">
      <c r="B134" s="9">
        <v>126</v>
      </c>
      <c r="C134" s="9" t="s">
        <v>32</v>
      </c>
      <c r="D134" s="10">
        <f t="shared" si="14"/>
        <v>2107.09261628104</v>
      </c>
      <c r="E134" s="10">
        <f t="shared" si="15"/>
        <v>432.97580386164435</v>
      </c>
      <c r="F134" s="10">
        <f t="shared" si="16"/>
        <v>1674.1168124193957</v>
      </c>
      <c r="G134" s="11">
        <f t="shared" si="21"/>
        <v>206154.26904116987</v>
      </c>
      <c r="H134" s="9"/>
      <c r="I134" s="92">
        <f t="shared" si="22"/>
        <v>126</v>
      </c>
      <c r="L134" s="9">
        <v>126</v>
      </c>
      <c r="M134" s="9" t="s">
        <v>32</v>
      </c>
      <c r="N134" s="10">
        <f t="shared" si="17"/>
        <v>2107.09261628104</v>
      </c>
      <c r="O134" s="10">
        <f t="shared" si="18"/>
        <v>448.4907854334045</v>
      </c>
      <c r="P134" s="10">
        <f t="shared" si="19"/>
        <v>1658.6018308476357</v>
      </c>
      <c r="Q134" s="11">
        <f t="shared" si="20"/>
        <v>213616.97517718654</v>
      </c>
      <c r="S134" s="92">
        <f aca="true" t="shared" si="23" ref="S134:S197">IF(O134&gt;0,L134,"")</f>
        <v>126</v>
      </c>
      <c r="V134" s="104"/>
    </row>
    <row r="135" spans="2:22" ht="12.75">
      <c r="B135" s="9">
        <v>127</v>
      </c>
      <c r="C135" s="9" t="s">
        <v>33</v>
      </c>
      <c r="D135" s="10">
        <f t="shared" si="14"/>
        <v>2107.09261628104</v>
      </c>
      <c r="E135" s="10">
        <f t="shared" si="15"/>
        <v>429.4880605024373</v>
      </c>
      <c r="F135" s="10">
        <f t="shared" si="16"/>
        <v>1677.6045557786028</v>
      </c>
      <c r="G135" s="11">
        <f t="shared" si="21"/>
        <v>204476.66448539126</v>
      </c>
      <c r="H135" s="9"/>
      <c r="I135" s="92">
        <f t="shared" si="22"/>
        <v>127</v>
      </c>
      <c r="L135" s="9">
        <v>127</v>
      </c>
      <c r="M135" s="9" t="s">
        <v>33</v>
      </c>
      <c r="N135" s="10">
        <f t="shared" si="17"/>
        <v>2107.09261628104</v>
      </c>
      <c r="O135" s="10">
        <f t="shared" si="18"/>
        <v>445.035364952472</v>
      </c>
      <c r="P135" s="10">
        <f t="shared" si="19"/>
        <v>1662.057251328568</v>
      </c>
      <c r="Q135" s="11">
        <f t="shared" si="20"/>
        <v>211954.91792585797</v>
      </c>
      <c r="S135" s="92">
        <f t="shared" si="23"/>
        <v>127</v>
      </c>
      <c r="V135" s="104"/>
    </row>
    <row r="136" spans="2:22" ht="12.75">
      <c r="B136" s="9">
        <v>128</v>
      </c>
      <c r="C136" s="9" t="s">
        <v>34</v>
      </c>
      <c r="D136" s="10">
        <f t="shared" si="14"/>
        <v>2107.09261628104</v>
      </c>
      <c r="E136" s="10">
        <f t="shared" si="15"/>
        <v>425.9930510112318</v>
      </c>
      <c r="F136" s="10">
        <f t="shared" si="16"/>
        <v>1681.0995652698084</v>
      </c>
      <c r="G136" s="11">
        <f t="shared" si="21"/>
        <v>202795.56492012145</v>
      </c>
      <c r="H136" s="9"/>
      <c r="I136" s="92">
        <f t="shared" si="22"/>
        <v>128</v>
      </c>
      <c r="L136" s="9">
        <v>128</v>
      </c>
      <c r="M136" s="9" t="s">
        <v>34</v>
      </c>
      <c r="N136" s="10">
        <f t="shared" si="17"/>
        <v>2107.09261628104</v>
      </c>
      <c r="O136" s="10">
        <f t="shared" si="18"/>
        <v>441.57274567887083</v>
      </c>
      <c r="P136" s="10">
        <f t="shared" si="19"/>
        <v>1665.5198706021692</v>
      </c>
      <c r="Q136" s="11">
        <f t="shared" si="20"/>
        <v>210289.3980552558</v>
      </c>
      <c r="S136" s="92">
        <f t="shared" si="23"/>
        <v>128</v>
      </c>
      <c r="V136" s="104"/>
    </row>
    <row r="137" spans="2:22" ht="12.75">
      <c r="B137" s="9">
        <v>129</v>
      </c>
      <c r="C137" s="9" t="s">
        <v>35</v>
      </c>
      <c r="D137" s="10">
        <f t="shared" si="14"/>
        <v>2107.09261628104</v>
      </c>
      <c r="E137" s="10">
        <f t="shared" si="15"/>
        <v>422.49076025025306</v>
      </c>
      <c r="F137" s="10">
        <f t="shared" si="16"/>
        <v>1684.601856030787</v>
      </c>
      <c r="G137" s="11">
        <f t="shared" si="21"/>
        <v>201110.96306409067</v>
      </c>
      <c r="H137" s="9"/>
      <c r="I137" s="92">
        <f t="shared" si="22"/>
        <v>129</v>
      </c>
      <c r="L137" s="9">
        <v>129</v>
      </c>
      <c r="M137" s="9" t="s">
        <v>35</v>
      </c>
      <c r="N137" s="10">
        <f t="shared" si="17"/>
        <v>2107.09261628104</v>
      </c>
      <c r="O137" s="10">
        <f t="shared" si="18"/>
        <v>438.1029126151163</v>
      </c>
      <c r="P137" s="10">
        <f t="shared" si="19"/>
        <v>1668.9897036659238</v>
      </c>
      <c r="Q137" s="11">
        <f t="shared" si="20"/>
        <v>208620.40835158987</v>
      </c>
      <c r="S137" s="92">
        <f t="shared" si="23"/>
        <v>129</v>
      </c>
      <c r="V137" s="104"/>
    </row>
    <row r="138" spans="2:22" ht="12.75">
      <c r="B138" s="9">
        <v>130</v>
      </c>
      <c r="C138" s="9" t="s">
        <v>36</v>
      </c>
      <c r="D138" s="10">
        <f aca="true" t="shared" si="24" ref="D138:D201">IF(G137&lt;D$5,G137+E138,D$5)</f>
        <v>2107.09261628104</v>
      </c>
      <c r="E138" s="10">
        <f aca="true" t="shared" si="25" ref="E138:E201">IF(G137/100*E$5/12&lt;0,0,G137/100*E$5/12)</f>
        <v>418.98117305018894</v>
      </c>
      <c r="F138" s="10">
        <f aca="true" t="shared" si="26" ref="F138:F201">D138-E138</f>
        <v>1688.1114432308511</v>
      </c>
      <c r="G138" s="11">
        <f t="shared" si="21"/>
        <v>199422.85162085982</v>
      </c>
      <c r="H138" s="9"/>
      <c r="I138" s="92">
        <f t="shared" si="22"/>
        <v>130</v>
      </c>
      <c r="L138" s="9">
        <v>130</v>
      </c>
      <c r="M138" s="9" t="s">
        <v>36</v>
      </c>
      <c r="N138" s="10">
        <f aca="true" t="shared" si="27" ref="N138:N201">IF(Q137&lt;D$5,Q137+O138,D$5)</f>
        <v>2107.09261628104</v>
      </c>
      <c r="O138" s="10">
        <f aca="true" t="shared" si="28" ref="O138:O201">IF(Q137/100*E$5/12&lt;0,0,Q137/100*E$5/12)</f>
        <v>434.6258507324789</v>
      </c>
      <c r="P138" s="10">
        <f aca="true" t="shared" si="29" ref="P138:P201">N138-O138</f>
        <v>1672.4667655485612</v>
      </c>
      <c r="Q138" s="11">
        <f t="shared" si="20"/>
        <v>206947.9415860413</v>
      </c>
      <c r="S138" s="92">
        <f t="shared" si="23"/>
        <v>130</v>
      </c>
      <c r="V138" s="104"/>
    </row>
    <row r="139" spans="2:22" ht="12.75">
      <c r="B139" s="9">
        <v>131</v>
      </c>
      <c r="C139" s="9" t="s">
        <v>37</v>
      </c>
      <c r="D139" s="10">
        <f t="shared" si="24"/>
        <v>2107.09261628104</v>
      </c>
      <c r="E139" s="10">
        <f t="shared" si="25"/>
        <v>415.4642742101246</v>
      </c>
      <c r="F139" s="10">
        <f t="shared" si="26"/>
        <v>1691.6283420709156</v>
      </c>
      <c r="G139" s="11">
        <f t="shared" si="21"/>
        <v>197731.2232787889</v>
      </c>
      <c r="H139" s="9"/>
      <c r="I139" s="92">
        <f t="shared" si="22"/>
        <v>131</v>
      </c>
      <c r="L139" s="9">
        <v>131</v>
      </c>
      <c r="M139" s="9" t="s">
        <v>37</v>
      </c>
      <c r="N139" s="10">
        <f t="shared" si="27"/>
        <v>2107.09261628104</v>
      </c>
      <c r="O139" s="10">
        <f t="shared" si="28"/>
        <v>431.14154497091937</v>
      </c>
      <c r="P139" s="10">
        <f t="shared" si="29"/>
        <v>1675.9510713101208</v>
      </c>
      <c r="Q139" s="11">
        <f aca="true" t="shared" si="30" ref="Q139:Q202">Q138-P139</f>
        <v>205271.99051473118</v>
      </c>
      <c r="S139" s="92">
        <f t="shared" si="23"/>
        <v>131</v>
      </c>
      <c r="V139" s="104"/>
    </row>
    <row r="140" spans="2:22" ht="12.75">
      <c r="B140" s="9">
        <v>132</v>
      </c>
      <c r="C140" s="9" t="s">
        <v>38</v>
      </c>
      <c r="D140" s="10">
        <f t="shared" si="24"/>
        <v>2107.09261628104</v>
      </c>
      <c r="E140" s="10">
        <f t="shared" si="25"/>
        <v>411.9400484974769</v>
      </c>
      <c r="F140" s="10">
        <f t="shared" si="26"/>
        <v>1695.1525677835632</v>
      </c>
      <c r="G140" s="11">
        <f aca="true" t="shared" si="31" ref="G140:G203">G139-F140-H140</f>
        <v>196036.07071100533</v>
      </c>
      <c r="H140" s="9"/>
      <c r="I140" s="92">
        <f t="shared" si="22"/>
        <v>132</v>
      </c>
      <c r="L140" s="9">
        <v>132</v>
      </c>
      <c r="M140" s="9" t="s">
        <v>38</v>
      </c>
      <c r="N140" s="10">
        <f t="shared" si="27"/>
        <v>2107.09261628104</v>
      </c>
      <c r="O140" s="10">
        <f t="shared" si="28"/>
        <v>427.64998023902325</v>
      </c>
      <c r="P140" s="10">
        <f t="shared" si="29"/>
        <v>1679.4426360420168</v>
      </c>
      <c r="Q140" s="11">
        <f t="shared" si="30"/>
        <v>203592.54787868916</v>
      </c>
      <c r="S140" s="92">
        <f t="shared" si="23"/>
        <v>132</v>
      </c>
      <c r="V140" s="104"/>
    </row>
    <row r="141" spans="2:22" ht="12.75">
      <c r="B141" s="84">
        <v>133</v>
      </c>
      <c r="C141" s="84" t="s">
        <v>27</v>
      </c>
      <c r="D141" s="85">
        <f t="shared" si="24"/>
        <v>2107.09261628104</v>
      </c>
      <c r="E141" s="85">
        <f t="shared" si="25"/>
        <v>408.4084806479277</v>
      </c>
      <c r="F141" s="85">
        <f t="shared" si="26"/>
        <v>1698.6841356331124</v>
      </c>
      <c r="G141" s="86">
        <f t="shared" si="31"/>
        <v>193460.91578284095</v>
      </c>
      <c r="H141" s="68">
        <f>IF((G140-F141)&gt;Energie!S20,Energie!S20,(G140-F141))</f>
        <v>876.4707925312605</v>
      </c>
      <c r="I141" s="92">
        <f t="shared" si="22"/>
        <v>133</v>
      </c>
      <c r="K141">
        <v>11</v>
      </c>
      <c r="L141" s="84">
        <v>133</v>
      </c>
      <c r="M141" s="84" t="s">
        <v>27</v>
      </c>
      <c r="N141" s="85">
        <f t="shared" si="27"/>
        <v>2107.09261628104</v>
      </c>
      <c r="O141" s="85">
        <f t="shared" si="28"/>
        <v>424.1511414139357</v>
      </c>
      <c r="P141" s="85">
        <f t="shared" si="29"/>
        <v>1682.9414748671045</v>
      </c>
      <c r="Q141" s="86">
        <f t="shared" si="30"/>
        <v>201909.60640382205</v>
      </c>
      <c r="S141" s="92">
        <f t="shared" si="23"/>
        <v>133</v>
      </c>
      <c r="T141" s="128">
        <f>SUM(N129:N140)</f>
        <v>25285.111395372474</v>
      </c>
      <c r="U141" s="128">
        <f>(SUM(N129:N140)+U129)</f>
        <v>278136.2253490973</v>
      </c>
      <c r="V141" s="104"/>
    </row>
    <row r="142" spans="2:22" ht="12.75">
      <c r="B142" s="9">
        <v>134</v>
      </c>
      <c r="C142" s="9" t="s">
        <v>28</v>
      </c>
      <c r="D142" s="10">
        <f t="shared" si="24"/>
        <v>2107.09261628104</v>
      </c>
      <c r="E142" s="10">
        <f t="shared" si="25"/>
        <v>403.04357454758537</v>
      </c>
      <c r="F142" s="10">
        <f t="shared" si="26"/>
        <v>1704.0490417334547</v>
      </c>
      <c r="G142" s="11">
        <f t="shared" si="31"/>
        <v>191756.8667411075</v>
      </c>
      <c r="H142" s="9"/>
      <c r="I142" s="92">
        <f t="shared" si="22"/>
        <v>134</v>
      </c>
      <c r="L142" s="9">
        <v>134</v>
      </c>
      <c r="M142" s="9" t="s">
        <v>28</v>
      </c>
      <c r="N142" s="10">
        <f t="shared" si="27"/>
        <v>2107.09261628104</v>
      </c>
      <c r="O142" s="10">
        <f t="shared" si="28"/>
        <v>420.6450133412959</v>
      </c>
      <c r="P142" s="10">
        <f t="shared" si="29"/>
        <v>1686.4476029397442</v>
      </c>
      <c r="Q142" s="11">
        <f t="shared" si="30"/>
        <v>200223.15880088232</v>
      </c>
      <c r="S142" s="92">
        <f t="shared" si="23"/>
        <v>134</v>
      </c>
      <c r="V142" s="104"/>
    </row>
    <row r="143" spans="2:22" ht="12.75">
      <c r="B143" s="9">
        <v>135</v>
      </c>
      <c r="C143" s="9" t="s">
        <v>29</v>
      </c>
      <c r="D143" s="10">
        <f t="shared" si="24"/>
        <v>2107.09261628104</v>
      </c>
      <c r="E143" s="10">
        <f t="shared" si="25"/>
        <v>399.4934723773072</v>
      </c>
      <c r="F143" s="10">
        <f t="shared" si="26"/>
        <v>1707.599143903733</v>
      </c>
      <c r="G143" s="11">
        <f t="shared" si="31"/>
        <v>190049.26759720375</v>
      </c>
      <c r="H143" s="9"/>
      <c r="I143" s="92">
        <f t="shared" si="22"/>
        <v>135</v>
      </c>
      <c r="L143" s="9">
        <v>135</v>
      </c>
      <c r="M143" s="9" t="s">
        <v>29</v>
      </c>
      <c r="N143" s="10">
        <f t="shared" si="27"/>
        <v>2107.09261628104</v>
      </c>
      <c r="O143" s="10">
        <f t="shared" si="28"/>
        <v>417.13158083517146</v>
      </c>
      <c r="P143" s="10">
        <f t="shared" si="29"/>
        <v>1689.9610354458687</v>
      </c>
      <c r="Q143" s="11">
        <f t="shared" si="30"/>
        <v>198533.19776543646</v>
      </c>
      <c r="S143" s="92">
        <f t="shared" si="23"/>
        <v>135</v>
      </c>
      <c r="V143" s="104"/>
    </row>
    <row r="144" spans="2:22" ht="12.75">
      <c r="B144" s="9">
        <v>136</v>
      </c>
      <c r="C144" s="9" t="s">
        <v>30</v>
      </c>
      <c r="D144" s="10">
        <f t="shared" si="24"/>
        <v>2107.09261628104</v>
      </c>
      <c r="E144" s="10">
        <f t="shared" si="25"/>
        <v>395.9359741608411</v>
      </c>
      <c r="F144" s="10">
        <f t="shared" si="26"/>
        <v>1711.156642120199</v>
      </c>
      <c r="G144" s="11">
        <f t="shared" si="31"/>
        <v>188338.11095508357</v>
      </c>
      <c r="H144" s="9"/>
      <c r="I144" s="92">
        <f t="shared" si="22"/>
        <v>136</v>
      </c>
      <c r="L144" s="9">
        <v>136</v>
      </c>
      <c r="M144" s="9" t="s">
        <v>30</v>
      </c>
      <c r="N144" s="10">
        <f t="shared" si="27"/>
        <v>2107.09261628104</v>
      </c>
      <c r="O144" s="10">
        <f t="shared" si="28"/>
        <v>413.61082867799263</v>
      </c>
      <c r="P144" s="10">
        <f t="shared" si="29"/>
        <v>1693.4817876030475</v>
      </c>
      <c r="Q144" s="11">
        <f t="shared" si="30"/>
        <v>196839.7159778334</v>
      </c>
      <c r="S144" s="92">
        <f t="shared" si="23"/>
        <v>136</v>
      </c>
      <c r="V144" s="104"/>
    </row>
    <row r="145" spans="2:22" ht="12.75">
      <c r="B145" s="9">
        <v>137</v>
      </c>
      <c r="C145" s="9" t="s">
        <v>31</v>
      </c>
      <c r="D145" s="10">
        <f t="shared" si="24"/>
        <v>2107.09261628104</v>
      </c>
      <c r="E145" s="10">
        <f t="shared" si="25"/>
        <v>392.37106448975743</v>
      </c>
      <c r="F145" s="10">
        <f t="shared" si="26"/>
        <v>1714.7215517912828</v>
      </c>
      <c r="G145" s="11">
        <f t="shared" si="31"/>
        <v>186623.3894032923</v>
      </c>
      <c r="H145" s="9"/>
      <c r="I145" s="92">
        <f t="shared" si="22"/>
        <v>137</v>
      </c>
      <c r="L145" s="9">
        <v>137</v>
      </c>
      <c r="M145" s="9" t="s">
        <v>31</v>
      </c>
      <c r="N145" s="10">
        <f t="shared" si="27"/>
        <v>2107.09261628104</v>
      </c>
      <c r="O145" s="10">
        <f t="shared" si="28"/>
        <v>410.0827416204863</v>
      </c>
      <c r="P145" s="10">
        <f t="shared" si="29"/>
        <v>1697.0098746605538</v>
      </c>
      <c r="Q145" s="11">
        <f t="shared" si="30"/>
        <v>195142.70610317285</v>
      </c>
      <c r="S145" s="92">
        <f t="shared" si="23"/>
        <v>137</v>
      </c>
      <c r="V145" s="104"/>
    </row>
    <row r="146" spans="2:22" ht="12.75">
      <c r="B146" s="9">
        <v>138</v>
      </c>
      <c r="C146" s="9" t="s">
        <v>32</v>
      </c>
      <c r="D146" s="10">
        <f t="shared" si="24"/>
        <v>2107.09261628104</v>
      </c>
      <c r="E146" s="10">
        <f t="shared" si="25"/>
        <v>388.79872792352563</v>
      </c>
      <c r="F146" s="10">
        <f t="shared" si="26"/>
        <v>1718.2938883575146</v>
      </c>
      <c r="G146" s="11">
        <f t="shared" si="31"/>
        <v>184905.09551493477</v>
      </c>
      <c r="H146" s="9"/>
      <c r="I146" s="92">
        <f t="shared" si="22"/>
        <v>138</v>
      </c>
      <c r="L146" s="9">
        <v>138</v>
      </c>
      <c r="M146" s="9" t="s">
        <v>32</v>
      </c>
      <c r="N146" s="10">
        <f t="shared" si="27"/>
        <v>2107.09261628104</v>
      </c>
      <c r="O146" s="10">
        <f t="shared" si="28"/>
        <v>406.5473043816101</v>
      </c>
      <c r="P146" s="10">
        <f t="shared" si="29"/>
        <v>1700.54531189943</v>
      </c>
      <c r="Q146" s="11">
        <f t="shared" si="30"/>
        <v>193442.16079127343</v>
      </c>
      <c r="S146" s="92">
        <f t="shared" si="23"/>
        <v>138</v>
      </c>
      <c r="V146" s="104"/>
    </row>
    <row r="147" spans="2:22" ht="12.75">
      <c r="B147" s="9">
        <v>139</v>
      </c>
      <c r="C147" s="9" t="s">
        <v>33</v>
      </c>
      <c r="D147" s="10">
        <f t="shared" si="24"/>
        <v>2107.09261628104</v>
      </c>
      <c r="E147" s="10">
        <f t="shared" si="25"/>
        <v>385.2189489894475</v>
      </c>
      <c r="F147" s="10">
        <f t="shared" si="26"/>
        <v>1721.8736672915927</v>
      </c>
      <c r="G147" s="11">
        <f t="shared" si="31"/>
        <v>183183.22184764317</v>
      </c>
      <c r="H147" s="9"/>
      <c r="I147" s="92">
        <f t="shared" si="22"/>
        <v>139</v>
      </c>
      <c r="L147" s="9">
        <v>139</v>
      </c>
      <c r="M147" s="9" t="s">
        <v>33</v>
      </c>
      <c r="N147" s="10">
        <f t="shared" si="27"/>
        <v>2107.09261628104</v>
      </c>
      <c r="O147" s="10">
        <f t="shared" si="28"/>
        <v>403.00450164848627</v>
      </c>
      <c r="P147" s="10">
        <f t="shared" si="29"/>
        <v>1704.088114632554</v>
      </c>
      <c r="Q147" s="11">
        <f t="shared" si="30"/>
        <v>191738.07267664088</v>
      </c>
      <c r="S147" s="92">
        <f t="shared" si="23"/>
        <v>139</v>
      </c>
      <c r="V147" s="104"/>
    </row>
    <row r="148" spans="2:22" ht="12.75">
      <c r="B148" s="9">
        <v>140</v>
      </c>
      <c r="C148" s="9" t="s">
        <v>34</v>
      </c>
      <c r="D148" s="10">
        <f t="shared" si="24"/>
        <v>2107.09261628104</v>
      </c>
      <c r="E148" s="10">
        <f t="shared" si="25"/>
        <v>381.63171218259</v>
      </c>
      <c r="F148" s="10">
        <f t="shared" si="26"/>
        <v>1725.46090409845</v>
      </c>
      <c r="G148" s="11">
        <f t="shared" si="31"/>
        <v>181457.76094354474</v>
      </c>
      <c r="H148" s="9"/>
      <c r="I148" s="92">
        <f t="shared" si="22"/>
        <v>140</v>
      </c>
      <c r="L148" s="9">
        <v>140</v>
      </c>
      <c r="M148" s="9" t="s">
        <v>34</v>
      </c>
      <c r="N148" s="10">
        <f t="shared" si="27"/>
        <v>2107.09261628104</v>
      </c>
      <c r="O148" s="10">
        <f t="shared" si="28"/>
        <v>399.45431807633514</v>
      </c>
      <c r="P148" s="10">
        <f t="shared" si="29"/>
        <v>1707.638298204705</v>
      </c>
      <c r="Q148" s="11">
        <f t="shared" si="30"/>
        <v>190030.43437843618</v>
      </c>
      <c r="S148" s="92">
        <f t="shared" si="23"/>
        <v>140</v>
      </c>
      <c r="V148" s="104"/>
    </row>
    <row r="149" spans="2:22" ht="12.75">
      <c r="B149" s="9">
        <v>141</v>
      </c>
      <c r="C149" s="9" t="s">
        <v>35</v>
      </c>
      <c r="D149" s="10">
        <f t="shared" si="24"/>
        <v>2107.09261628104</v>
      </c>
      <c r="E149" s="10">
        <f t="shared" si="25"/>
        <v>378.0370019657182</v>
      </c>
      <c r="F149" s="10">
        <f t="shared" si="26"/>
        <v>1729.055614315322</v>
      </c>
      <c r="G149" s="11">
        <f t="shared" si="31"/>
        <v>179728.70532922941</v>
      </c>
      <c r="H149" s="9"/>
      <c r="I149" s="92">
        <f t="shared" si="22"/>
        <v>141</v>
      </c>
      <c r="L149" s="9">
        <v>141</v>
      </c>
      <c r="M149" s="9" t="s">
        <v>35</v>
      </c>
      <c r="N149" s="10">
        <f t="shared" si="27"/>
        <v>2107.09261628104</v>
      </c>
      <c r="O149" s="10">
        <f t="shared" si="28"/>
        <v>395.8967382884087</v>
      </c>
      <c r="P149" s="10">
        <f t="shared" si="29"/>
        <v>1711.1958779926315</v>
      </c>
      <c r="Q149" s="11">
        <f t="shared" si="30"/>
        <v>188319.23850044355</v>
      </c>
      <c r="S149" s="92">
        <f t="shared" si="23"/>
        <v>141</v>
      </c>
      <c r="V149" s="104"/>
    </row>
    <row r="150" spans="2:22" ht="12.75">
      <c r="B150" s="9">
        <v>142</v>
      </c>
      <c r="C150" s="9" t="s">
        <v>36</v>
      </c>
      <c r="D150" s="10">
        <f t="shared" si="24"/>
        <v>2107.09261628104</v>
      </c>
      <c r="E150" s="10">
        <f t="shared" si="25"/>
        <v>374.43480276922793</v>
      </c>
      <c r="F150" s="10">
        <f t="shared" si="26"/>
        <v>1732.6578135118123</v>
      </c>
      <c r="G150" s="11">
        <f t="shared" si="31"/>
        <v>177996.0475157176</v>
      </c>
      <c r="H150" s="9"/>
      <c r="I150" s="92">
        <f t="shared" si="22"/>
        <v>142</v>
      </c>
      <c r="L150" s="9">
        <v>142</v>
      </c>
      <c r="M150" s="9" t="s">
        <v>36</v>
      </c>
      <c r="N150" s="10">
        <f t="shared" si="27"/>
        <v>2107.09261628104</v>
      </c>
      <c r="O150" s="10">
        <f t="shared" si="28"/>
        <v>392.331746875924</v>
      </c>
      <c r="P150" s="10">
        <f t="shared" si="29"/>
        <v>1714.7608694051162</v>
      </c>
      <c r="Q150" s="11">
        <f t="shared" si="30"/>
        <v>186604.47763103843</v>
      </c>
      <c r="S150" s="92">
        <f t="shared" si="23"/>
        <v>142</v>
      </c>
      <c r="V150" s="104"/>
    </row>
    <row r="151" spans="2:22" ht="12.75">
      <c r="B151" s="9">
        <v>143</v>
      </c>
      <c r="C151" s="9" t="s">
        <v>37</v>
      </c>
      <c r="D151" s="10">
        <f t="shared" si="24"/>
        <v>2107.09261628104</v>
      </c>
      <c r="E151" s="10">
        <f t="shared" si="25"/>
        <v>370.8250989910783</v>
      </c>
      <c r="F151" s="10">
        <f t="shared" si="26"/>
        <v>1736.267517289962</v>
      </c>
      <c r="G151" s="11">
        <f t="shared" si="31"/>
        <v>176259.77999842764</v>
      </c>
      <c r="H151" s="9"/>
      <c r="I151" s="92">
        <f t="shared" si="22"/>
        <v>143</v>
      </c>
      <c r="L151" s="9">
        <v>143</v>
      </c>
      <c r="M151" s="9" t="s">
        <v>37</v>
      </c>
      <c r="N151" s="10">
        <f t="shared" si="27"/>
        <v>2107.09261628104</v>
      </c>
      <c r="O151" s="10">
        <f t="shared" si="28"/>
        <v>388.75932839799674</v>
      </c>
      <c r="P151" s="10">
        <f t="shared" si="29"/>
        <v>1718.3332878830433</v>
      </c>
      <c r="Q151" s="11">
        <f t="shared" si="30"/>
        <v>184886.14434315538</v>
      </c>
      <c r="S151" s="92">
        <f t="shared" si="23"/>
        <v>143</v>
      </c>
      <c r="V151" s="104"/>
    </row>
    <row r="152" spans="2:22" ht="12.75">
      <c r="B152" s="9">
        <v>144</v>
      </c>
      <c r="C152" s="9" t="s">
        <v>38</v>
      </c>
      <c r="D152" s="10">
        <f t="shared" si="24"/>
        <v>2107.09261628104</v>
      </c>
      <c r="E152" s="10">
        <f t="shared" si="25"/>
        <v>367.2078749967243</v>
      </c>
      <c r="F152" s="10">
        <f t="shared" si="26"/>
        <v>1739.8847412843159</v>
      </c>
      <c r="G152" s="11">
        <f t="shared" si="31"/>
        <v>174519.89525714333</v>
      </c>
      <c r="H152" s="9"/>
      <c r="I152" s="92">
        <f t="shared" si="22"/>
        <v>144</v>
      </c>
      <c r="L152" s="9">
        <v>144</v>
      </c>
      <c r="M152" s="9" t="s">
        <v>38</v>
      </c>
      <c r="N152" s="10">
        <f t="shared" si="27"/>
        <v>2107.09261628104</v>
      </c>
      <c r="O152" s="10">
        <f t="shared" si="28"/>
        <v>385.1794673815737</v>
      </c>
      <c r="P152" s="10">
        <f t="shared" si="29"/>
        <v>1721.9131488994665</v>
      </c>
      <c r="Q152" s="11">
        <f t="shared" si="30"/>
        <v>183164.2311942559</v>
      </c>
      <c r="S152" s="92">
        <f t="shared" si="23"/>
        <v>144</v>
      </c>
      <c r="V152" s="104"/>
    </row>
    <row r="153" spans="2:22" ht="12.75">
      <c r="B153" s="84">
        <v>145</v>
      </c>
      <c r="C153" s="84" t="s">
        <v>27</v>
      </c>
      <c r="D153" s="85">
        <f t="shared" si="24"/>
        <v>2107.09261628104</v>
      </c>
      <c r="E153" s="85">
        <f t="shared" si="25"/>
        <v>363.58311511904867</v>
      </c>
      <c r="F153" s="85">
        <f t="shared" si="26"/>
        <v>1743.5095011619915</v>
      </c>
      <c r="G153" s="86">
        <f t="shared" si="31"/>
        <v>171853.45119344658</v>
      </c>
      <c r="H153" s="68">
        <f>IF((G152-F153)&gt;Energie!S21,Energie!S21,(G152-F153))</f>
        <v>922.9345625347557</v>
      </c>
      <c r="I153" s="92">
        <f t="shared" si="22"/>
        <v>145</v>
      </c>
      <c r="K153">
        <v>12</v>
      </c>
      <c r="L153" s="84">
        <v>145</v>
      </c>
      <c r="M153" s="84" t="s">
        <v>27</v>
      </c>
      <c r="N153" s="85">
        <f t="shared" si="27"/>
        <v>2107.09261628104</v>
      </c>
      <c r="O153" s="85">
        <f t="shared" si="28"/>
        <v>381.5921483213665</v>
      </c>
      <c r="P153" s="85">
        <f t="shared" si="29"/>
        <v>1725.5004679596736</v>
      </c>
      <c r="Q153" s="86">
        <f t="shared" si="30"/>
        <v>181438.73072629623</v>
      </c>
      <c r="S153" s="92">
        <f t="shared" si="23"/>
        <v>145</v>
      </c>
      <c r="T153" s="128">
        <f>SUM(N141:N152)</f>
        <v>25285.111395372474</v>
      </c>
      <c r="U153" s="128">
        <f>(SUM(N141:N152)+U141)</f>
        <v>303421.33674446977</v>
      </c>
      <c r="V153" s="104"/>
    </row>
    <row r="154" spans="2:22" ht="12.75">
      <c r="B154" s="9">
        <v>146</v>
      </c>
      <c r="C154" s="9" t="s">
        <v>28</v>
      </c>
      <c r="D154" s="10">
        <f t="shared" si="24"/>
        <v>2107.09261628104</v>
      </c>
      <c r="E154" s="10">
        <f t="shared" si="25"/>
        <v>358.0280233196804</v>
      </c>
      <c r="F154" s="10">
        <f t="shared" si="26"/>
        <v>1749.0645929613597</v>
      </c>
      <c r="G154" s="11">
        <f t="shared" si="31"/>
        <v>170104.38660048522</v>
      </c>
      <c r="H154" s="9"/>
      <c r="I154" s="92">
        <f t="shared" si="22"/>
        <v>146</v>
      </c>
      <c r="L154" s="9">
        <v>146</v>
      </c>
      <c r="M154" s="9" t="s">
        <v>28</v>
      </c>
      <c r="N154" s="10">
        <f t="shared" si="27"/>
        <v>2107.09261628104</v>
      </c>
      <c r="O154" s="10">
        <f t="shared" si="28"/>
        <v>377.99735567978377</v>
      </c>
      <c r="P154" s="10">
        <f t="shared" si="29"/>
        <v>1729.0952606012563</v>
      </c>
      <c r="Q154" s="11">
        <f t="shared" si="30"/>
        <v>179709.63546569497</v>
      </c>
      <c r="S154" s="92">
        <f t="shared" si="23"/>
        <v>146</v>
      </c>
      <c r="V154" s="104"/>
    </row>
    <row r="155" spans="2:22" ht="12.75">
      <c r="B155" s="9">
        <v>147</v>
      </c>
      <c r="C155" s="9" t="s">
        <v>29</v>
      </c>
      <c r="D155" s="10">
        <f t="shared" si="24"/>
        <v>2107.09261628104</v>
      </c>
      <c r="E155" s="10">
        <f t="shared" si="25"/>
        <v>354.3841387510109</v>
      </c>
      <c r="F155" s="10">
        <f t="shared" si="26"/>
        <v>1752.7084775300293</v>
      </c>
      <c r="G155" s="11">
        <f t="shared" si="31"/>
        <v>168351.6781229552</v>
      </c>
      <c r="H155" s="9"/>
      <c r="I155" s="92">
        <f t="shared" si="22"/>
        <v>147</v>
      </c>
      <c r="L155" s="9">
        <v>147</v>
      </c>
      <c r="M155" s="9" t="s">
        <v>29</v>
      </c>
      <c r="N155" s="10">
        <f t="shared" si="27"/>
        <v>2107.09261628104</v>
      </c>
      <c r="O155" s="10">
        <f t="shared" si="28"/>
        <v>374.3950738868645</v>
      </c>
      <c r="P155" s="10">
        <f t="shared" si="29"/>
        <v>1732.6975423941756</v>
      </c>
      <c r="Q155" s="11">
        <f t="shared" si="30"/>
        <v>177976.9379233008</v>
      </c>
      <c r="S155" s="92">
        <f t="shared" si="23"/>
        <v>147</v>
      </c>
      <c r="V155" s="104"/>
    </row>
    <row r="156" spans="2:22" ht="12.75">
      <c r="B156" s="9">
        <v>148</v>
      </c>
      <c r="C156" s="9" t="s">
        <v>30</v>
      </c>
      <c r="D156" s="10">
        <f t="shared" si="24"/>
        <v>2107.09261628104</v>
      </c>
      <c r="E156" s="10">
        <f t="shared" si="25"/>
        <v>350.7326627561567</v>
      </c>
      <c r="F156" s="10">
        <f t="shared" si="26"/>
        <v>1756.3599535248834</v>
      </c>
      <c r="G156" s="11">
        <f t="shared" si="31"/>
        <v>166595.3181694303</v>
      </c>
      <c r="H156" s="9"/>
      <c r="I156" s="92">
        <f t="shared" si="22"/>
        <v>148</v>
      </c>
      <c r="L156" s="9">
        <v>148</v>
      </c>
      <c r="M156" s="9" t="s">
        <v>30</v>
      </c>
      <c r="N156" s="10">
        <f t="shared" si="27"/>
        <v>2107.09261628104</v>
      </c>
      <c r="O156" s="10">
        <f t="shared" si="28"/>
        <v>370.78528734021</v>
      </c>
      <c r="P156" s="10">
        <f t="shared" si="29"/>
        <v>1736.30732894083</v>
      </c>
      <c r="Q156" s="11">
        <f t="shared" si="30"/>
        <v>176240.63059435997</v>
      </c>
      <c r="S156" s="92">
        <f t="shared" si="23"/>
        <v>148</v>
      </c>
      <c r="V156" s="104"/>
    </row>
    <row r="157" spans="2:22" ht="12.75">
      <c r="B157" s="9">
        <v>149</v>
      </c>
      <c r="C157" s="9" t="s">
        <v>31</v>
      </c>
      <c r="D157" s="10">
        <f t="shared" si="24"/>
        <v>2107.09261628104</v>
      </c>
      <c r="E157" s="10">
        <f t="shared" si="25"/>
        <v>347.0735795196465</v>
      </c>
      <c r="F157" s="10">
        <f t="shared" si="26"/>
        <v>1760.0190367613936</v>
      </c>
      <c r="G157" s="11">
        <f t="shared" si="31"/>
        <v>164835.2991326689</v>
      </c>
      <c r="H157" s="9"/>
      <c r="I157" s="92">
        <f t="shared" si="22"/>
        <v>149</v>
      </c>
      <c r="L157" s="9">
        <v>149</v>
      </c>
      <c r="M157" s="9" t="s">
        <v>31</v>
      </c>
      <c r="N157" s="10">
        <f t="shared" si="27"/>
        <v>2107.09261628104</v>
      </c>
      <c r="O157" s="10">
        <f t="shared" si="28"/>
        <v>367.1679804049166</v>
      </c>
      <c r="P157" s="10">
        <f t="shared" si="29"/>
        <v>1739.9246358761236</v>
      </c>
      <c r="Q157" s="11">
        <f t="shared" si="30"/>
        <v>174500.70595848386</v>
      </c>
      <c r="S157" s="92">
        <f t="shared" si="23"/>
        <v>149</v>
      </c>
      <c r="V157" s="104"/>
    </row>
    <row r="158" spans="2:22" ht="12.75">
      <c r="B158" s="9">
        <v>150</v>
      </c>
      <c r="C158" s="9" t="s">
        <v>32</v>
      </c>
      <c r="D158" s="10">
        <f t="shared" si="24"/>
        <v>2107.09261628104</v>
      </c>
      <c r="E158" s="10">
        <f t="shared" si="25"/>
        <v>343.4068731930602</v>
      </c>
      <c r="F158" s="10">
        <f t="shared" si="26"/>
        <v>1763.68574308798</v>
      </c>
      <c r="G158" s="11">
        <f t="shared" si="31"/>
        <v>163071.61338958092</v>
      </c>
      <c r="H158" s="9"/>
      <c r="I158" s="92">
        <f t="shared" si="22"/>
        <v>150</v>
      </c>
      <c r="L158" s="9">
        <v>150</v>
      </c>
      <c r="M158" s="9" t="s">
        <v>32</v>
      </c>
      <c r="N158" s="10">
        <f t="shared" si="27"/>
        <v>2107.09261628104</v>
      </c>
      <c r="O158" s="10">
        <f t="shared" si="28"/>
        <v>363.543137413508</v>
      </c>
      <c r="P158" s="10">
        <f t="shared" si="29"/>
        <v>1743.5494788675321</v>
      </c>
      <c r="Q158" s="11">
        <f t="shared" si="30"/>
        <v>172757.15647961633</v>
      </c>
      <c r="S158" s="92">
        <f t="shared" si="23"/>
        <v>150</v>
      </c>
      <c r="V158" s="104"/>
    </row>
    <row r="159" spans="2:22" ht="12.75">
      <c r="B159" s="9">
        <v>151</v>
      </c>
      <c r="C159" s="9" t="s">
        <v>33</v>
      </c>
      <c r="D159" s="10">
        <f t="shared" si="24"/>
        <v>2107.09261628104</v>
      </c>
      <c r="E159" s="10">
        <f t="shared" si="25"/>
        <v>339.73252789496024</v>
      </c>
      <c r="F159" s="10">
        <f t="shared" si="26"/>
        <v>1767.36008838608</v>
      </c>
      <c r="G159" s="11">
        <f t="shared" si="31"/>
        <v>161304.25330119484</v>
      </c>
      <c r="H159" s="9"/>
      <c r="I159" s="92">
        <f t="shared" si="22"/>
        <v>151</v>
      </c>
      <c r="L159" s="9">
        <v>151</v>
      </c>
      <c r="M159" s="9" t="s">
        <v>33</v>
      </c>
      <c r="N159" s="10">
        <f t="shared" si="27"/>
        <v>2107.09261628104</v>
      </c>
      <c r="O159" s="10">
        <f t="shared" si="28"/>
        <v>359.9107426658673</v>
      </c>
      <c r="P159" s="10">
        <f t="shared" si="29"/>
        <v>1747.181873615173</v>
      </c>
      <c r="Q159" s="11">
        <f t="shared" si="30"/>
        <v>171009.97460600117</v>
      </c>
      <c r="S159" s="92">
        <f t="shared" si="23"/>
        <v>151</v>
      </c>
      <c r="V159" s="104"/>
    </row>
    <row r="160" spans="2:22" ht="12.75">
      <c r="B160" s="9">
        <v>152</v>
      </c>
      <c r="C160" s="9" t="s">
        <v>34</v>
      </c>
      <c r="D160" s="10">
        <f t="shared" si="24"/>
        <v>2107.09261628104</v>
      </c>
      <c r="E160" s="10">
        <f t="shared" si="25"/>
        <v>336.05052771082256</v>
      </c>
      <c r="F160" s="10">
        <f t="shared" si="26"/>
        <v>1771.0420885702176</v>
      </c>
      <c r="G160" s="11">
        <f t="shared" si="31"/>
        <v>159533.21121262462</v>
      </c>
      <c r="H160" s="9"/>
      <c r="I160" s="92">
        <f t="shared" si="22"/>
        <v>152</v>
      </c>
      <c r="L160" s="9">
        <v>152</v>
      </c>
      <c r="M160" s="9" t="s">
        <v>34</v>
      </c>
      <c r="N160" s="10">
        <f t="shared" si="27"/>
        <v>2107.09261628104</v>
      </c>
      <c r="O160" s="10">
        <f t="shared" si="28"/>
        <v>356.27078042916906</v>
      </c>
      <c r="P160" s="10">
        <f t="shared" si="29"/>
        <v>1750.8218358518711</v>
      </c>
      <c r="Q160" s="11">
        <f t="shared" si="30"/>
        <v>169259.1527701493</v>
      </c>
      <c r="S160" s="92">
        <f t="shared" si="23"/>
        <v>152</v>
      </c>
      <c r="V160" s="104"/>
    </row>
    <row r="161" spans="2:22" ht="12.75">
      <c r="B161" s="9">
        <v>153</v>
      </c>
      <c r="C161" s="9" t="s">
        <v>35</v>
      </c>
      <c r="D161" s="10">
        <f t="shared" si="24"/>
        <v>2107.09261628104</v>
      </c>
      <c r="E161" s="10">
        <f t="shared" si="25"/>
        <v>332.36085669296796</v>
      </c>
      <c r="F161" s="10">
        <f t="shared" si="26"/>
        <v>1774.7317595880722</v>
      </c>
      <c r="G161" s="11">
        <f t="shared" si="31"/>
        <v>157758.47945303656</v>
      </c>
      <c r="H161" s="9"/>
      <c r="I161" s="92">
        <f t="shared" si="22"/>
        <v>153</v>
      </c>
      <c r="L161" s="9">
        <v>153</v>
      </c>
      <c r="M161" s="9" t="s">
        <v>35</v>
      </c>
      <c r="N161" s="10">
        <f t="shared" si="27"/>
        <v>2107.09261628104</v>
      </c>
      <c r="O161" s="10">
        <f t="shared" si="28"/>
        <v>352.62323493781105</v>
      </c>
      <c r="P161" s="10">
        <f t="shared" si="29"/>
        <v>1754.469381343229</v>
      </c>
      <c r="Q161" s="11">
        <f t="shared" si="30"/>
        <v>167504.68338880606</v>
      </c>
      <c r="S161" s="92">
        <f t="shared" si="23"/>
        <v>153</v>
      </c>
      <c r="V161" s="104"/>
    </row>
    <row r="162" spans="2:22" ht="12.75">
      <c r="B162" s="9">
        <v>154</v>
      </c>
      <c r="C162" s="9" t="s">
        <v>36</v>
      </c>
      <c r="D162" s="10">
        <f t="shared" si="24"/>
        <v>2107.09261628104</v>
      </c>
      <c r="E162" s="10">
        <f t="shared" si="25"/>
        <v>328.66349886049284</v>
      </c>
      <c r="F162" s="10">
        <f t="shared" si="26"/>
        <v>1778.4291174205473</v>
      </c>
      <c r="G162" s="11">
        <f t="shared" si="31"/>
        <v>155980.05033561602</v>
      </c>
      <c r="H162" s="9"/>
      <c r="I162" s="92">
        <f t="shared" si="22"/>
        <v>154</v>
      </c>
      <c r="L162" s="9">
        <v>154</v>
      </c>
      <c r="M162" s="9" t="s">
        <v>36</v>
      </c>
      <c r="N162" s="10">
        <f t="shared" si="27"/>
        <v>2107.09261628104</v>
      </c>
      <c r="O162" s="10">
        <f t="shared" si="28"/>
        <v>348.968090393346</v>
      </c>
      <c r="P162" s="10">
        <f t="shared" si="29"/>
        <v>1758.124525887694</v>
      </c>
      <c r="Q162" s="11">
        <f t="shared" si="30"/>
        <v>165746.55886291838</v>
      </c>
      <c r="S162" s="92">
        <f t="shared" si="23"/>
        <v>154</v>
      </c>
      <c r="V162" s="104"/>
    </row>
    <row r="163" spans="2:22" ht="12.75">
      <c r="B163" s="9">
        <v>155</v>
      </c>
      <c r="C163" s="9" t="s">
        <v>37</v>
      </c>
      <c r="D163" s="10">
        <f t="shared" si="24"/>
        <v>2107.09261628104</v>
      </c>
      <c r="E163" s="10">
        <f t="shared" si="25"/>
        <v>324.95843819920003</v>
      </c>
      <c r="F163" s="10">
        <f t="shared" si="26"/>
        <v>1782.1341780818402</v>
      </c>
      <c r="G163" s="11">
        <f t="shared" si="31"/>
        <v>154197.91615753417</v>
      </c>
      <c r="H163" s="9"/>
      <c r="I163" s="92">
        <f t="shared" si="22"/>
        <v>155</v>
      </c>
      <c r="L163" s="9">
        <v>155</v>
      </c>
      <c r="M163" s="9" t="s">
        <v>37</v>
      </c>
      <c r="N163" s="10">
        <f t="shared" si="27"/>
        <v>2107.09261628104</v>
      </c>
      <c r="O163" s="10">
        <f t="shared" si="28"/>
        <v>345.30533096441326</v>
      </c>
      <c r="P163" s="10">
        <f t="shared" si="29"/>
        <v>1761.7872853166268</v>
      </c>
      <c r="Q163" s="11">
        <f t="shared" si="30"/>
        <v>163984.77157760176</v>
      </c>
      <c r="S163" s="92">
        <f t="shared" si="23"/>
        <v>155</v>
      </c>
      <c r="V163" s="104"/>
    </row>
    <row r="164" spans="2:22" ht="12.75">
      <c r="B164" s="9">
        <v>156</v>
      </c>
      <c r="C164" s="9" t="s">
        <v>38</v>
      </c>
      <c r="D164" s="10">
        <f t="shared" si="24"/>
        <v>2107.09261628104</v>
      </c>
      <c r="E164" s="10">
        <f t="shared" si="25"/>
        <v>321.24565866152955</v>
      </c>
      <c r="F164" s="10">
        <f t="shared" si="26"/>
        <v>1785.8469576195107</v>
      </c>
      <c r="G164" s="11">
        <f t="shared" si="31"/>
        <v>152412.06919991467</v>
      </c>
      <c r="H164" s="9"/>
      <c r="I164" s="92">
        <f t="shared" si="22"/>
        <v>156</v>
      </c>
      <c r="L164" s="9">
        <v>156</v>
      </c>
      <c r="M164" s="9" t="s">
        <v>38</v>
      </c>
      <c r="N164" s="10">
        <f t="shared" si="27"/>
        <v>2107.09261628104</v>
      </c>
      <c r="O164" s="10">
        <f t="shared" si="28"/>
        <v>341.6349407866703</v>
      </c>
      <c r="P164" s="10">
        <f t="shared" si="29"/>
        <v>1765.4576754943698</v>
      </c>
      <c r="Q164" s="11">
        <f t="shared" si="30"/>
        <v>162219.3139021074</v>
      </c>
      <c r="S164" s="92">
        <f t="shared" si="23"/>
        <v>156</v>
      </c>
      <c r="V164" s="104"/>
    </row>
    <row r="165" spans="2:22" ht="12.75">
      <c r="B165" s="84">
        <v>157</v>
      </c>
      <c r="C165" s="84" t="s">
        <v>27</v>
      </c>
      <c r="D165" s="85">
        <f t="shared" si="24"/>
        <v>2107.09261628104</v>
      </c>
      <c r="E165" s="85">
        <f t="shared" si="25"/>
        <v>317.5251441664889</v>
      </c>
      <c r="F165" s="85">
        <f t="shared" si="26"/>
        <v>1789.5674721145513</v>
      </c>
      <c r="G165" s="86">
        <f t="shared" si="31"/>
        <v>149650.74060330604</v>
      </c>
      <c r="H165" s="68">
        <f>IF((G164-F165)&gt;Energie!S22,Energie!S22,(G164-F165))</f>
        <v>971.7611244940796</v>
      </c>
      <c r="I165" s="92">
        <f t="shared" si="22"/>
        <v>157</v>
      </c>
      <c r="K165">
        <v>13</v>
      </c>
      <c r="L165" s="84">
        <v>157</v>
      </c>
      <c r="M165" s="84" t="s">
        <v>27</v>
      </c>
      <c r="N165" s="85">
        <f t="shared" si="27"/>
        <v>2107.09261628104</v>
      </c>
      <c r="O165" s="85">
        <f t="shared" si="28"/>
        <v>337.95690396272374</v>
      </c>
      <c r="P165" s="85">
        <f t="shared" si="29"/>
        <v>1769.1357123183163</v>
      </c>
      <c r="Q165" s="86">
        <f t="shared" si="30"/>
        <v>160450.17818978906</v>
      </c>
      <c r="S165" s="92">
        <f t="shared" si="23"/>
        <v>157</v>
      </c>
      <c r="T165" s="128">
        <f>SUM(N153:N164)</f>
        <v>25285.111395372474</v>
      </c>
      <c r="U165" s="128">
        <f>(SUM(N153:N164)+U153)</f>
        <v>328706.44813984225</v>
      </c>
      <c r="V165" s="104"/>
    </row>
    <row r="166" spans="2:22" ht="12.75">
      <c r="B166" s="9">
        <v>158</v>
      </c>
      <c r="C166" s="9" t="s">
        <v>28</v>
      </c>
      <c r="D166" s="10">
        <f t="shared" si="24"/>
        <v>2107.09261628104</v>
      </c>
      <c r="E166" s="10">
        <f t="shared" si="25"/>
        <v>311.7723762568876</v>
      </c>
      <c r="F166" s="10">
        <f t="shared" si="26"/>
        <v>1795.3202400241526</v>
      </c>
      <c r="G166" s="11">
        <f t="shared" si="31"/>
        <v>147855.42036328188</v>
      </c>
      <c r="H166" s="9"/>
      <c r="I166" s="92">
        <f t="shared" si="22"/>
        <v>158</v>
      </c>
      <c r="L166" s="9">
        <v>158</v>
      </c>
      <c r="M166" s="9" t="s">
        <v>28</v>
      </c>
      <c r="N166" s="10">
        <f t="shared" si="27"/>
        <v>2107.09261628104</v>
      </c>
      <c r="O166" s="10">
        <f t="shared" si="28"/>
        <v>334.2712045620605</v>
      </c>
      <c r="P166" s="10">
        <f t="shared" si="29"/>
        <v>1772.8214117189796</v>
      </c>
      <c r="Q166" s="11">
        <f t="shared" si="30"/>
        <v>158677.35677807007</v>
      </c>
      <c r="S166" s="92">
        <f t="shared" si="23"/>
        <v>158</v>
      </c>
      <c r="V166" s="104"/>
    </row>
    <row r="167" spans="2:22" ht="12.75">
      <c r="B167" s="9">
        <v>159</v>
      </c>
      <c r="C167" s="9" t="s">
        <v>29</v>
      </c>
      <c r="D167" s="10">
        <f t="shared" si="24"/>
        <v>2107.09261628104</v>
      </c>
      <c r="E167" s="10">
        <f t="shared" si="25"/>
        <v>308.0321257568373</v>
      </c>
      <c r="F167" s="10">
        <f t="shared" si="26"/>
        <v>1799.0604905242028</v>
      </c>
      <c r="G167" s="11">
        <f t="shared" si="31"/>
        <v>146056.3598727577</v>
      </c>
      <c r="H167" s="9"/>
      <c r="I167" s="92">
        <f t="shared" si="22"/>
        <v>159</v>
      </c>
      <c r="L167" s="9">
        <v>159</v>
      </c>
      <c r="M167" s="9" t="s">
        <v>29</v>
      </c>
      <c r="N167" s="10">
        <f t="shared" si="27"/>
        <v>2107.09261628104</v>
      </c>
      <c r="O167" s="10">
        <f t="shared" si="28"/>
        <v>330.5778266209793</v>
      </c>
      <c r="P167" s="10">
        <f t="shared" si="29"/>
        <v>1776.5147896600608</v>
      </c>
      <c r="Q167" s="11">
        <f t="shared" si="30"/>
        <v>156900.84198841001</v>
      </c>
      <c r="S167" s="92">
        <f t="shared" si="23"/>
        <v>159</v>
      </c>
      <c r="V167" s="104"/>
    </row>
    <row r="168" spans="2:22" ht="12.75">
      <c r="B168" s="9">
        <v>160</v>
      </c>
      <c r="C168" s="9" t="s">
        <v>30</v>
      </c>
      <c r="D168" s="10">
        <f t="shared" si="24"/>
        <v>2107.09261628104</v>
      </c>
      <c r="E168" s="10">
        <f t="shared" si="25"/>
        <v>304.28408306824514</v>
      </c>
      <c r="F168" s="10">
        <f t="shared" si="26"/>
        <v>1802.808533212795</v>
      </c>
      <c r="G168" s="11">
        <f t="shared" si="31"/>
        <v>144253.5513395449</v>
      </c>
      <c r="H168" s="9"/>
      <c r="I168" s="92">
        <f t="shared" si="22"/>
        <v>160</v>
      </c>
      <c r="L168" s="9">
        <v>160</v>
      </c>
      <c r="M168" s="9" t="s">
        <v>30</v>
      </c>
      <c r="N168" s="10">
        <f t="shared" si="27"/>
        <v>2107.09261628104</v>
      </c>
      <c r="O168" s="10">
        <f t="shared" si="28"/>
        <v>326.8767541425209</v>
      </c>
      <c r="P168" s="10">
        <f t="shared" si="29"/>
        <v>1780.2158621385192</v>
      </c>
      <c r="Q168" s="11">
        <f t="shared" si="30"/>
        <v>155120.6261262715</v>
      </c>
      <c r="S168" s="92">
        <f t="shared" si="23"/>
        <v>160</v>
      </c>
      <c r="V168" s="104"/>
    </row>
    <row r="169" spans="2:22" ht="12.75">
      <c r="B169" s="9">
        <v>161</v>
      </c>
      <c r="C169" s="9" t="s">
        <v>31</v>
      </c>
      <c r="D169" s="10">
        <f t="shared" si="24"/>
        <v>2107.09261628104</v>
      </c>
      <c r="E169" s="10">
        <f t="shared" si="25"/>
        <v>300.52823195738523</v>
      </c>
      <c r="F169" s="10">
        <f t="shared" si="26"/>
        <v>1806.5643843236548</v>
      </c>
      <c r="G169" s="11">
        <f t="shared" si="31"/>
        <v>142446.98695522125</v>
      </c>
      <c r="H169" s="9"/>
      <c r="I169" s="92">
        <f t="shared" si="22"/>
        <v>161</v>
      </c>
      <c r="L169" s="9">
        <v>161</v>
      </c>
      <c r="M169" s="9" t="s">
        <v>31</v>
      </c>
      <c r="N169" s="10">
        <f t="shared" si="27"/>
        <v>2107.09261628104</v>
      </c>
      <c r="O169" s="10">
        <f t="shared" si="28"/>
        <v>323.16797109639896</v>
      </c>
      <c r="P169" s="10">
        <f t="shared" si="29"/>
        <v>1783.9246451846411</v>
      </c>
      <c r="Q169" s="11">
        <f t="shared" si="30"/>
        <v>153336.70148108684</v>
      </c>
      <c r="S169" s="92">
        <f t="shared" si="23"/>
        <v>161</v>
      </c>
      <c r="V169" s="104"/>
    </row>
    <row r="170" spans="2:22" ht="12.75">
      <c r="B170" s="9">
        <v>162</v>
      </c>
      <c r="C170" s="9" t="s">
        <v>32</v>
      </c>
      <c r="D170" s="10">
        <f t="shared" si="24"/>
        <v>2107.09261628104</v>
      </c>
      <c r="E170" s="10">
        <f t="shared" si="25"/>
        <v>296.76455615671097</v>
      </c>
      <c r="F170" s="10">
        <f t="shared" si="26"/>
        <v>1810.328060124329</v>
      </c>
      <c r="G170" s="11">
        <f t="shared" si="31"/>
        <v>140636.65889509692</v>
      </c>
      <c r="H170" s="9"/>
      <c r="I170" s="92">
        <f t="shared" si="22"/>
        <v>162</v>
      </c>
      <c r="L170" s="9">
        <v>162</v>
      </c>
      <c r="M170" s="9" t="s">
        <v>32</v>
      </c>
      <c r="N170" s="10">
        <f t="shared" si="27"/>
        <v>2107.09261628104</v>
      </c>
      <c r="O170" s="10">
        <f t="shared" si="28"/>
        <v>319.45146141893093</v>
      </c>
      <c r="P170" s="10">
        <f t="shared" si="29"/>
        <v>1787.6411548621093</v>
      </c>
      <c r="Q170" s="11">
        <f t="shared" si="30"/>
        <v>151549.06032622475</v>
      </c>
      <c r="S170" s="92">
        <f t="shared" si="23"/>
        <v>162</v>
      </c>
      <c r="V170" s="104"/>
    </row>
    <row r="171" spans="2:22" ht="12.75">
      <c r="B171" s="9">
        <v>163</v>
      </c>
      <c r="C171" s="9" t="s">
        <v>33</v>
      </c>
      <c r="D171" s="10">
        <f t="shared" si="24"/>
        <v>2107.09261628104</v>
      </c>
      <c r="E171" s="10">
        <f t="shared" si="25"/>
        <v>292.99303936478526</v>
      </c>
      <c r="F171" s="10">
        <f t="shared" si="26"/>
        <v>1814.0995769162548</v>
      </c>
      <c r="G171" s="11">
        <f t="shared" si="31"/>
        <v>138822.55931818066</v>
      </c>
      <c r="H171" s="9"/>
      <c r="I171" s="92">
        <f t="shared" si="22"/>
        <v>163</v>
      </c>
      <c r="L171" s="9">
        <v>163</v>
      </c>
      <c r="M171" s="9" t="s">
        <v>33</v>
      </c>
      <c r="N171" s="10">
        <f t="shared" si="27"/>
        <v>2107.09261628104</v>
      </c>
      <c r="O171" s="10">
        <f t="shared" si="28"/>
        <v>315.7272090129682</v>
      </c>
      <c r="P171" s="10">
        <f t="shared" si="29"/>
        <v>1791.365407268072</v>
      </c>
      <c r="Q171" s="11">
        <f t="shared" si="30"/>
        <v>149757.69491895667</v>
      </c>
      <c r="S171" s="92">
        <f t="shared" si="23"/>
        <v>163</v>
      </c>
      <c r="V171" s="104"/>
    </row>
    <row r="172" spans="2:22" ht="12.75">
      <c r="B172" s="9">
        <v>164</v>
      </c>
      <c r="C172" s="9" t="s">
        <v>34</v>
      </c>
      <c r="D172" s="10">
        <f t="shared" si="24"/>
        <v>2107.09261628104</v>
      </c>
      <c r="E172" s="10">
        <f t="shared" si="25"/>
        <v>289.2136652462097</v>
      </c>
      <c r="F172" s="10">
        <f t="shared" si="26"/>
        <v>1817.8789510348304</v>
      </c>
      <c r="G172" s="11">
        <f t="shared" si="31"/>
        <v>137004.68036714583</v>
      </c>
      <c r="H172" s="9"/>
      <c r="I172" s="92">
        <f t="shared" si="22"/>
        <v>164</v>
      </c>
      <c r="L172" s="9">
        <v>164</v>
      </c>
      <c r="M172" s="9" t="s">
        <v>34</v>
      </c>
      <c r="N172" s="10">
        <f t="shared" si="27"/>
        <v>2107.09261628104</v>
      </c>
      <c r="O172" s="10">
        <f t="shared" si="28"/>
        <v>311.99519774782635</v>
      </c>
      <c r="P172" s="10">
        <f t="shared" si="29"/>
        <v>1795.0974185332138</v>
      </c>
      <c r="Q172" s="11">
        <f t="shared" si="30"/>
        <v>147962.59750042346</v>
      </c>
      <c r="S172" s="92">
        <f t="shared" si="23"/>
        <v>164</v>
      </c>
      <c r="V172" s="104"/>
    </row>
    <row r="173" spans="2:22" ht="12.75">
      <c r="B173" s="9">
        <v>165</v>
      </c>
      <c r="C173" s="9" t="s">
        <v>35</v>
      </c>
      <c r="D173" s="10">
        <f t="shared" si="24"/>
        <v>2107.09261628104</v>
      </c>
      <c r="E173" s="10">
        <f t="shared" si="25"/>
        <v>285.42641743155383</v>
      </c>
      <c r="F173" s="10">
        <f t="shared" si="26"/>
        <v>1821.6661988494864</v>
      </c>
      <c r="G173" s="11">
        <f t="shared" si="31"/>
        <v>135183.01416829636</v>
      </c>
      <c r="H173" s="9"/>
      <c r="I173" s="92">
        <f aca="true" t="shared" si="32" ref="I173:I236">IF(E173&gt;0,B173,"")</f>
        <v>165</v>
      </c>
      <c r="L173" s="9">
        <v>165</v>
      </c>
      <c r="M173" s="9" t="s">
        <v>35</v>
      </c>
      <c r="N173" s="10">
        <f t="shared" si="27"/>
        <v>2107.09261628104</v>
      </c>
      <c r="O173" s="10">
        <f t="shared" si="28"/>
        <v>308.2554114592155</v>
      </c>
      <c r="P173" s="10">
        <f t="shared" si="29"/>
        <v>1798.8372048218246</v>
      </c>
      <c r="Q173" s="11">
        <f t="shared" si="30"/>
        <v>146163.76029560165</v>
      </c>
      <c r="S173" s="92">
        <f t="shared" si="23"/>
        <v>165</v>
      </c>
      <c r="V173" s="104"/>
    </row>
    <row r="174" spans="2:22" ht="12.75">
      <c r="B174" s="9">
        <v>166</v>
      </c>
      <c r="C174" s="9" t="s">
        <v>36</v>
      </c>
      <c r="D174" s="10">
        <f t="shared" si="24"/>
        <v>2107.09261628104</v>
      </c>
      <c r="E174" s="10">
        <f t="shared" si="25"/>
        <v>281.6312795172841</v>
      </c>
      <c r="F174" s="10">
        <f t="shared" si="26"/>
        <v>1825.461336763756</v>
      </c>
      <c r="G174" s="11">
        <f t="shared" si="31"/>
        <v>133357.5528315326</v>
      </c>
      <c r="H174" s="9"/>
      <c r="I174" s="92">
        <f t="shared" si="32"/>
        <v>166</v>
      </c>
      <c r="L174" s="9">
        <v>166</v>
      </c>
      <c r="M174" s="9" t="s">
        <v>36</v>
      </c>
      <c r="N174" s="10">
        <f t="shared" si="27"/>
        <v>2107.09261628104</v>
      </c>
      <c r="O174" s="10">
        <f t="shared" si="28"/>
        <v>304.5078339491701</v>
      </c>
      <c r="P174" s="10">
        <f t="shared" si="29"/>
        <v>1802.58478233187</v>
      </c>
      <c r="Q174" s="11">
        <f t="shared" si="30"/>
        <v>144361.1755132698</v>
      </c>
      <c r="S174" s="92">
        <f t="shared" si="23"/>
        <v>166</v>
      </c>
      <c r="V174" s="104"/>
    </row>
    <row r="175" spans="2:22" ht="12.75">
      <c r="B175" s="9">
        <v>167</v>
      </c>
      <c r="C175" s="9" t="s">
        <v>37</v>
      </c>
      <c r="D175" s="10">
        <f t="shared" si="24"/>
        <v>2107.09261628104</v>
      </c>
      <c r="E175" s="10">
        <f t="shared" si="25"/>
        <v>277.8282350656929</v>
      </c>
      <c r="F175" s="10">
        <f t="shared" si="26"/>
        <v>1829.2643812153472</v>
      </c>
      <c r="G175" s="11">
        <f t="shared" si="31"/>
        <v>131528.28845031725</v>
      </c>
      <c r="H175" s="9"/>
      <c r="I175" s="92">
        <f t="shared" si="32"/>
        <v>167</v>
      </c>
      <c r="L175" s="9">
        <v>167</v>
      </c>
      <c r="M175" s="9" t="s">
        <v>37</v>
      </c>
      <c r="N175" s="10">
        <f t="shared" si="27"/>
        <v>2107.09261628104</v>
      </c>
      <c r="O175" s="10">
        <f t="shared" si="28"/>
        <v>300.75244898597873</v>
      </c>
      <c r="P175" s="10">
        <f t="shared" si="29"/>
        <v>1806.3401672950613</v>
      </c>
      <c r="Q175" s="11">
        <f t="shared" si="30"/>
        <v>142554.83534597472</v>
      </c>
      <c r="S175" s="92">
        <f t="shared" si="23"/>
        <v>167</v>
      </c>
      <c r="V175" s="104"/>
    </row>
    <row r="176" spans="2:22" ht="12.75">
      <c r="B176" s="9">
        <v>168</v>
      </c>
      <c r="C176" s="9" t="s">
        <v>38</v>
      </c>
      <c r="D176" s="10">
        <f t="shared" si="24"/>
        <v>2107.09261628104</v>
      </c>
      <c r="E176" s="10">
        <f t="shared" si="25"/>
        <v>274.0172676048276</v>
      </c>
      <c r="F176" s="10">
        <f t="shared" si="26"/>
        <v>1833.0753486762126</v>
      </c>
      <c r="G176" s="11">
        <f t="shared" si="31"/>
        <v>129695.21310164104</v>
      </c>
      <c r="H176" s="9"/>
      <c r="I176" s="92">
        <f t="shared" si="32"/>
        <v>168</v>
      </c>
      <c r="L176" s="9">
        <v>168</v>
      </c>
      <c r="M176" s="9" t="s">
        <v>38</v>
      </c>
      <c r="N176" s="10">
        <f t="shared" si="27"/>
        <v>2107.09261628104</v>
      </c>
      <c r="O176" s="10">
        <f t="shared" si="28"/>
        <v>296.989240304114</v>
      </c>
      <c r="P176" s="10">
        <f t="shared" si="29"/>
        <v>1810.1033759769261</v>
      </c>
      <c r="Q176" s="11">
        <f t="shared" si="30"/>
        <v>140744.73196999778</v>
      </c>
      <c r="S176" s="92">
        <f t="shared" si="23"/>
        <v>168</v>
      </c>
      <c r="V176" s="104"/>
    </row>
    <row r="177" spans="2:22" ht="12.75">
      <c r="B177" s="84">
        <v>169</v>
      </c>
      <c r="C177" s="84" t="s">
        <v>27</v>
      </c>
      <c r="D177" s="85">
        <f t="shared" si="24"/>
        <v>2107.09261628104</v>
      </c>
      <c r="E177" s="85">
        <f t="shared" si="25"/>
        <v>270.19836062841887</v>
      </c>
      <c r="F177" s="85">
        <f t="shared" si="26"/>
        <v>1836.8942556526213</v>
      </c>
      <c r="G177" s="86">
        <f t="shared" si="31"/>
        <v>126835.24963392956</v>
      </c>
      <c r="H177" s="68">
        <f>IF((G176-F177)&gt;Energie!S23,Energie!S23,(G176-F177))</f>
        <v>1023.0692120588587</v>
      </c>
      <c r="I177" s="92">
        <f t="shared" si="32"/>
        <v>169</v>
      </c>
      <c r="K177">
        <v>14</v>
      </c>
      <c r="L177" s="84">
        <v>169</v>
      </c>
      <c r="M177" s="84" t="s">
        <v>27</v>
      </c>
      <c r="N177" s="85">
        <f t="shared" si="27"/>
        <v>2107.09261628104</v>
      </c>
      <c r="O177" s="85">
        <f t="shared" si="28"/>
        <v>293.2181916041621</v>
      </c>
      <c r="P177" s="85">
        <f t="shared" si="29"/>
        <v>1813.874424676878</v>
      </c>
      <c r="Q177" s="86">
        <f t="shared" si="30"/>
        <v>138930.8575453209</v>
      </c>
      <c r="S177" s="92">
        <f t="shared" si="23"/>
        <v>169</v>
      </c>
      <c r="T177" s="128">
        <f>SUM(N165:N176)</f>
        <v>25285.111395372474</v>
      </c>
      <c r="U177" s="128">
        <f>(SUM(N165:N176)+U165)</f>
        <v>353991.55953521474</v>
      </c>
      <c r="V177" s="104"/>
    </row>
    <row r="178" spans="2:22" ht="12.75">
      <c r="B178" s="9">
        <v>170</v>
      </c>
      <c r="C178" s="9" t="s">
        <v>28</v>
      </c>
      <c r="D178" s="10">
        <f t="shared" si="24"/>
        <v>2107.09261628104</v>
      </c>
      <c r="E178" s="10">
        <f t="shared" si="25"/>
        <v>264.2401034040199</v>
      </c>
      <c r="F178" s="10">
        <f t="shared" si="26"/>
        <v>1842.8525128770202</v>
      </c>
      <c r="G178" s="11">
        <f t="shared" si="31"/>
        <v>124992.39712105253</v>
      </c>
      <c r="H178" s="9"/>
      <c r="I178" s="92">
        <f t="shared" si="32"/>
        <v>170</v>
      </c>
      <c r="L178" s="9">
        <v>170</v>
      </c>
      <c r="M178" s="9" t="s">
        <v>28</v>
      </c>
      <c r="N178" s="10">
        <f t="shared" si="27"/>
        <v>2107.09261628104</v>
      </c>
      <c r="O178" s="10">
        <f t="shared" si="28"/>
        <v>289.43928655275187</v>
      </c>
      <c r="P178" s="10">
        <f t="shared" si="29"/>
        <v>1817.6533297282883</v>
      </c>
      <c r="Q178" s="11">
        <f t="shared" si="30"/>
        <v>137113.20421559262</v>
      </c>
      <c r="S178" s="92">
        <f t="shared" si="23"/>
        <v>170</v>
      </c>
      <c r="V178" s="104"/>
    </row>
    <row r="179" spans="2:22" ht="12.75">
      <c r="B179" s="9">
        <v>171</v>
      </c>
      <c r="C179" s="9" t="s">
        <v>29</v>
      </c>
      <c r="D179" s="10">
        <f t="shared" si="24"/>
        <v>2107.09261628104</v>
      </c>
      <c r="E179" s="10">
        <f t="shared" si="25"/>
        <v>260.4008273355261</v>
      </c>
      <c r="F179" s="10">
        <f t="shared" si="26"/>
        <v>1846.691788945514</v>
      </c>
      <c r="G179" s="11">
        <f t="shared" si="31"/>
        <v>123145.70533210703</v>
      </c>
      <c r="H179" s="9"/>
      <c r="I179" s="92">
        <f t="shared" si="32"/>
        <v>171</v>
      </c>
      <c r="L179" s="9">
        <v>171</v>
      </c>
      <c r="M179" s="9" t="s">
        <v>29</v>
      </c>
      <c r="N179" s="10">
        <f t="shared" si="27"/>
        <v>2107.09261628104</v>
      </c>
      <c r="O179" s="10">
        <f t="shared" si="28"/>
        <v>285.65250878248463</v>
      </c>
      <c r="P179" s="10">
        <f t="shared" si="29"/>
        <v>1821.4401074985556</v>
      </c>
      <c r="Q179" s="11">
        <f t="shared" si="30"/>
        <v>135291.76410809407</v>
      </c>
      <c r="S179" s="92">
        <f t="shared" si="23"/>
        <v>171</v>
      </c>
      <c r="V179" s="104"/>
    </row>
    <row r="180" spans="2:22" ht="12.75">
      <c r="B180" s="9">
        <v>172</v>
      </c>
      <c r="C180" s="9" t="s">
        <v>30</v>
      </c>
      <c r="D180" s="10">
        <f t="shared" si="24"/>
        <v>2107.09261628104</v>
      </c>
      <c r="E180" s="10">
        <f t="shared" si="25"/>
        <v>256.55355277522295</v>
      </c>
      <c r="F180" s="10">
        <f t="shared" si="26"/>
        <v>1850.5390635058172</v>
      </c>
      <c r="G180" s="11">
        <f t="shared" si="31"/>
        <v>121295.16626860121</v>
      </c>
      <c r="H180" s="9"/>
      <c r="I180" s="92">
        <f t="shared" si="32"/>
        <v>172</v>
      </c>
      <c r="L180" s="9">
        <v>172</v>
      </c>
      <c r="M180" s="9" t="s">
        <v>30</v>
      </c>
      <c r="N180" s="10">
        <f t="shared" si="27"/>
        <v>2107.09261628104</v>
      </c>
      <c r="O180" s="10">
        <f t="shared" si="28"/>
        <v>281.8578418918626</v>
      </c>
      <c r="P180" s="10">
        <f t="shared" si="29"/>
        <v>1825.2347743891776</v>
      </c>
      <c r="Q180" s="11">
        <f t="shared" si="30"/>
        <v>133466.52933370488</v>
      </c>
      <c r="S180" s="92">
        <f t="shared" si="23"/>
        <v>172</v>
      </c>
      <c r="V180" s="104"/>
    </row>
    <row r="181" spans="2:22" ht="12.75">
      <c r="B181" s="9">
        <v>173</v>
      </c>
      <c r="C181" s="9" t="s">
        <v>31</v>
      </c>
      <c r="D181" s="10">
        <f t="shared" si="24"/>
        <v>2107.09261628104</v>
      </c>
      <c r="E181" s="10">
        <f t="shared" si="25"/>
        <v>252.69826305958588</v>
      </c>
      <c r="F181" s="10">
        <f t="shared" si="26"/>
        <v>1854.3943532214544</v>
      </c>
      <c r="G181" s="11">
        <f t="shared" si="31"/>
        <v>119440.77191537977</v>
      </c>
      <c r="H181" s="9"/>
      <c r="I181" s="92">
        <f t="shared" si="32"/>
        <v>173</v>
      </c>
      <c r="L181" s="9">
        <v>173</v>
      </c>
      <c r="M181" s="9" t="s">
        <v>31</v>
      </c>
      <c r="N181" s="10">
        <f t="shared" si="27"/>
        <v>2107.09261628104</v>
      </c>
      <c r="O181" s="10">
        <f t="shared" si="28"/>
        <v>278.05526944521847</v>
      </c>
      <c r="P181" s="10">
        <f t="shared" si="29"/>
        <v>1829.0373468358216</v>
      </c>
      <c r="Q181" s="11">
        <f t="shared" si="30"/>
        <v>131637.49198686905</v>
      </c>
      <c r="S181" s="92">
        <f t="shared" si="23"/>
        <v>173</v>
      </c>
      <c r="V181" s="104"/>
    </row>
    <row r="182" spans="2:22" ht="12.75">
      <c r="B182" s="9">
        <v>174</v>
      </c>
      <c r="C182" s="9" t="s">
        <v>32</v>
      </c>
      <c r="D182" s="10">
        <f t="shared" si="24"/>
        <v>2107.09261628104</v>
      </c>
      <c r="E182" s="10">
        <f t="shared" si="25"/>
        <v>248.83494149037452</v>
      </c>
      <c r="F182" s="10">
        <f t="shared" si="26"/>
        <v>1858.2576747906655</v>
      </c>
      <c r="G182" s="11">
        <f t="shared" si="31"/>
        <v>117582.5142405891</v>
      </c>
      <c r="H182" s="9"/>
      <c r="I182" s="92">
        <f t="shared" si="32"/>
        <v>174</v>
      </c>
      <c r="L182" s="9">
        <v>174</v>
      </c>
      <c r="M182" s="9" t="s">
        <v>32</v>
      </c>
      <c r="N182" s="10">
        <f t="shared" si="27"/>
        <v>2107.09261628104</v>
      </c>
      <c r="O182" s="10">
        <f t="shared" si="28"/>
        <v>274.2447749726439</v>
      </c>
      <c r="P182" s="10">
        <f t="shared" si="29"/>
        <v>1832.8478413083963</v>
      </c>
      <c r="Q182" s="11">
        <f t="shared" si="30"/>
        <v>129804.64414556065</v>
      </c>
      <c r="S182" s="92">
        <f t="shared" si="23"/>
        <v>174</v>
      </c>
      <c r="V182" s="104"/>
    </row>
    <row r="183" spans="2:22" ht="12.75">
      <c r="B183" s="9">
        <v>175</v>
      </c>
      <c r="C183" s="9" t="s">
        <v>33</v>
      </c>
      <c r="D183" s="10">
        <f t="shared" si="24"/>
        <v>2107.09261628104</v>
      </c>
      <c r="E183" s="10">
        <f t="shared" si="25"/>
        <v>244.9635713345606</v>
      </c>
      <c r="F183" s="10">
        <f t="shared" si="26"/>
        <v>1862.1290449464796</v>
      </c>
      <c r="G183" s="11">
        <f t="shared" si="31"/>
        <v>115720.38519564262</v>
      </c>
      <c r="H183" s="9"/>
      <c r="I183" s="92">
        <f t="shared" si="32"/>
        <v>175</v>
      </c>
      <c r="L183" s="9">
        <v>175</v>
      </c>
      <c r="M183" s="9" t="s">
        <v>33</v>
      </c>
      <c r="N183" s="10">
        <f t="shared" si="27"/>
        <v>2107.09261628104</v>
      </c>
      <c r="O183" s="10">
        <f t="shared" si="28"/>
        <v>270.42634196991804</v>
      </c>
      <c r="P183" s="10">
        <f t="shared" si="29"/>
        <v>1836.6662743111222</v>
      </c>
      <c r="Q183" s="11">
        <f t="shared" si="30"/>
        <v>127967.97787124953</v>
      </c>
      <c r="S183" s="92">
        <f t="shared" si="23"/>
        <v>175</v>
      </c>
      <c r="V183" s="104"/>
    </row>
    <row r="184" spans="2:22" ht="12.75">
      <c r="B184" s="9">
        <v>176</v>
      </c>
      <c r="C184" s="9" t="s">
        <v>34</v>
      </c>
      <c r="D184" s="10">
        <f t="shared" si="24"/>
        <v>2107.09261628104</v>
      </c>
      <c r="E184" s="10">
        <f t="shared" si="25"/>
        <v>241.08413582425547</v>
      </c>
      <c r="F184" s="10">
        <f t="shared" si="26"/>
        <v>1866.0084804567846</v>
      </c>
      <c r="G184" s="11">
        <f t="shared" si="31"/>
        <v>113854.37671518583</v>
      </c>
      <c r="H184" s="9"/>
      <c r="I184" s="92">
        <f t="shared" si="32"/>
        <v>176</v>
      </c>
      <c r="L184" s="9">
        <v>176</v>
      </c>
      <c r="M184" s="9" t="s">
        <v>34</v>
      </c>
      <c r="N184" s="10">
        <f t="shared" si="27"/>
        <v>2107.09261628104</v>
      </c>
      <c r="O184" s="10">
        <f t="shared" si="28"/>
        <v>266.5999538984365</v>
      </c>
      <c r="P184" s="10">
        <f t="shared" si="29"/>
        <v>1840.4926623826036</v>
      </c>
      <c r="Q184" s="11">
        <f t="shared" si="30"/>
        <v>126127.48520886693</v>
      </c>
      <c r="S184" s="92">
        <f t="shared" si="23"/>
        <v>176</v>
      </c>
      <c r="V184" s="104"/>
    </row>
    <row r="185" spans="2:22" ht="12.75">
      <c r="B185" s="9">
        <v>177</v>
      </c>
      <c r="C185" s="9" t="s">
        <v>35</v>
      </c>
      <c r="D185" s="10">
        <f t="shared" si="24"/>
        <v>2107.09261628104</v>
      </c>
      <c r="E185" s="10">
        <f t="shared" si="25"/>
        <v>237.1966181566372</v>
      </c>
      <c r="F185" s="10">
        <f t="shared" si="26"/>
        <v>1869.895998124403</v>
      </c>
      <c r="G185" s="11">
        <f t="shared" si="31"/>
        <v>111984.48071706144</v>
      </c>
      <c r="H185" s="9"/>
      <c r="I185" s="92">
        <f t="shared" si="32"/>
        <v>177</v>
      </c>
      <c r="L185" s="9">
        <v>177</v>
      </c>
      <c r="M185" s="9" t="s">
        <v>35</v>
      </c>
      <c r="N185" s="10">
        <f t="shared" si="27"/>
        <v>2107.09261628104</v>
      </c>
      <c r="O185" s="10">
        <f t="shared" si="28"/>
        <v>262.76559418513943</v>
      </c>
      <c r="P185" s="10">
        <f t="shared" si="29"/>
        <v>1844.3270220959007</v>
      </c>
      <c r="Q185" s="11">
        <f t="shared" si="30"/>
        <v>124283.15818677103</v>
      </c>
      <c r="S185" s="92">
        <f t="shared" si="23"/>
        <v>177</v>
      </c>
      <c r="V185" s="104"/>
    </row>
    <row r="186" spans="2:22" ht="12.75">
      <c r="B186" s="9">
        <v>178</v>
      </c>
      <c r="C186" s="9" t="s">
        <v>36</v>
      </c>
      <c r="D186" s="10">
        <f t="shared" si="24"/>
        <v>2107.09261628104</v>
      </c>
      <c r="E186" s="10">
        <f t="shared" si="25"/>
        <v>233.30100149387798</v>
      </c>
      <c r="F186" s="10">
        <f t="shared" si="26"/>
        <v>1873.7916147871622</v>
      </c>
      <c r="G186" s="11">
        <f t="shared" si="31"/>
        <v>110110.68910227428</v>
      </c>
      <c r="H186" s="9"/>
      <c r="I186" s="92">
        <f t="shared" si="32"/>
        <v>178</v>
      </c>
      <c r="L186" s="9">
        <v>178</v>
      </c>
      <c r="M186" s="9" t="s">
        <v>36</v>
      </c>
      <c r="N186" s="10">
        <f t="shared" si="27"/>
        <v>2107.09261628104</v>
      </c>
      <c r="O186" s="10">
        <f t="shared" si="28"/>
        <v>258.9232462224397</v>
      </c>
      <c r="P186" s="10">
        <f t="shared" si="29"/>
        <v>1848.1693700586004</v>
      </c>
      <c r="Q186" s="11">
        <f t="shared" si="30"/>
        <v>122434.98881671243</v>
      </c>
      <c r="S186" s="92">
        <f t="shared" si="23"/>
        <v>178</v>
      </c>
      <c r="V186" s="104"/>
    </row>
    <row r="187" spans="2:22" ht="12.75">
      <c r="B187" s="9">
        <v>179</v>
      </c>
      <c r="C187" s="9" t="s">
        <v>37</v>
      </c>
      <c r="D187" s="10">
        <f t="shared" si="24"/>
        <v>2107.09261628104</v>
      </c>
      <c r="E187" s="10">
        <f t="shared" si="25"/>
        <v>229.39726896307138</v>
      </c>
      <c r="F187" s="10">
        <f t="shared" si="26"/>
        <v>1877.6953473179688</v>
      </c>
      <c r="G187" s="11">
        <f t="shared" si="31"/>
        <v>108232.9937549563</v>
      </c>
      <c r="H187" s="9"/>
      <c r="I187" s="92">
        <f t="shared" si="32"/>
        <v>179</v>
      </c>
      <c r="L187" s="9">
        <v>179</v>
      </c>
      <c r="M187" s="9" t="s">
        <v>37</v>
      </c>
      <c r="N187" s="10">
        <f t="shared" si="27"/>
        <v>2107.09261628104</v>
      </c>
      <c r="O187" s="10">
        <f t="shared" si="28"/>
        <v>255.0728933681509</v>
      </c>
      <c r="P187" s="10">
        <f t="shared" si="29"/>
        <v>1852.0197229128892</v>
      </c>
      <c r="Q187" s="11">
        <f t="shared" si="30"/>
        <v>120582.96909379955</v>
      </c>
      <c r="S187" s="92">
        <f t="shared" si="23"/>
        <v>179</v>
      </c>
      <c r="V187" s="104"/>
    </row>
    <row r="188" spans="2:22" ht="12.75">
      <c r="B188" s="9">
        <v>180</v>
      </c>
      <c r="C188" s="9" t="s">
        <v>38</v>
      </c>
      <c r="D188" s="10">
        <f t="shared" si="24"/>
        <v>2107.09261628104</v>
      </c>
      <c r="E188" s="10">
        <f t="shared" si="25"/>
        <v>225.48540365615895</v>
      </c>
      <c r="F188" s="10">
        <f t="shared" si="26"/>
        <v>1881.6072126248812</v>
      </c>
      <c r="G188" s="11">
        <f t="shared" si="31"/>
        <v>106351.38654233143</v>
      </c>
      <c r="H188" s="9"/>
      <c r="I188" s="92">
        <f t="shared" si="32"/>
        <v>180</v>
      </c>
      <c r="L188" s="9">
        <v>180</v>
      </c>
      <c r="M188" s="9" t="s">
        <v>38</v>
      </c>
      <c r="N188" s="10">
        <f t="shared" si="27"/>
        <v>2107.09261628104</v>
      </c>
      <c r="O188" s="10">
        <f t="shared" si="28"/>
        <v>251.21451894541573</v>
      </c>
      <c r="P188" s="10">
        <f t="shared" si="29"/>
        <v>1855.8780973356245</v>
      </c>
      <c r="Q188" s="11">
        <f t="shared" si="30"/>
        <v>118727.09099646393</v>
      </c>
      <c r="S188" s="92">
        <f t="shared" si="23"/>
        <v>180</v>
      </c>
      <c r="V188" s="104"/>
    </row>
    <row r="189" spans="2:22" ht="12.75">
      <c r="B189" s="84">
        <v>181</v>
      </c>
      <c r="C189" s="84" t="s">
        <v>27</v>
      </c>
      <c r="D189" s="85">
        <f t="shared" si="24"/>
        <v>2107.09261628104</v>
      </c>
      <c r="E189" s="85">
        <f t="shared" si="25"/>
        <v>221.56538862985713</v>
      </c>
      <c r="F189" s="85">
        <f t="shared" si="26"/>
        <v>1885.527227651183</v>
      </c>
      <c r="G189" s="86">
        <f t="shared" si="31"/>
        <v>103388.87581020826</v>
      </c>
      <c r="H189" s="68">
        <f>IF((G188-F189)&gt;Energie!S24,Energie!S24,(G188-F189))</f>
        <v>1076.9835044719778</v>
      </c>
      <c r="I189" s="92">
        <f t="shared" si="32"/>
        <v>181</v>
      </c>
      <c r="K189">
        <v>15</v>
      </c>
      <c r="L189" s="84">
        <v>181</v>
      </c>
      <c r="M189" s="84" t="s">
        <v>27</v>
      </c>
      <c r="N189" s="85">
        <f t="shared" si="27"/>
        <v>2107.09261628104</v>
      </c>
      <c r="O189" s="85">
        <f t="shared" si="28"/>
        <v>247.34810624263318</v>
      </c>
      <c r="P189" s="85">
        <f t="shared" si="29"/>
        <v>1859.744510038407</v>
      </c>
      <c r="Q189" s="86">
        <f t="shared" si="30"/>
        <v>116867.34648642552</v>
      </c>
      <c r="S189" s="92">
        <f t="shared" si="23"/>
        <v>181</v>
      </c>
      <c r="T189" s="128">
        <f>SUM(N177:N188)</f>
        <v>25285.111395372474</v>
      </c>
      <c r="U189" s="128">
        <f>(SUM(N177:N188)+U177)</f>
        <v>379276.6709305872</v>
      </c>
      <c r="V189" s="104"/>
    </row>
    <row r="190" spans="2:22" ht="12.75">
      <c r="B190" s="9">
        <v>182</v>
      </c>
      <c r="C190" s="9" t="s">
        <v>28</v>
      </c>
      <c r="D190" s="10">
        <f t="shared" si="24"/>
        <v>2107.09261628104</v>
      </c>
      <c r="E190" s="10">
        <f t="shared" si="25"/>
        <v>215.3934912712672</v>
      </c>
      <c r="F190" s="10">
        <f t="shared" si="26"/>
        <v>1891.6991250097728</v>
      </c>
      <c r="G190" s="11">
        <f t="shared" si="31"/>
        <v>101497.17668519849</v>
      </c>
      <c r="H190" s="9"/>
      <c r="I190" s="92">
        <f t="shared" si="32"/>
        <v>182</v>
      </c>
      <c r="L190" s="9">
        <v>182</v>
      </c>
      <c r="M190" s="9" t="s">
        <v>28</v>
      </c>
      <c r="N190" s="10">
        <f t="shared" si="27"/>
        <v>2107.09261628104</v>
      </c>
      <c r="O190" s="10">
        <f t="shared" si="28"/>
        <v>243.4736385133865</v>
      </c>
      <c r="P190" s="10">
        <f t="shared" si="29"/>
        <v>1863.6189777676536</v>
      </c>
      <c r="Q190" s="11">
        <f t="shared" si="30"/>
        <v>115003.72750865787</v>
      </c>
      <c r="S190" s="92">
        <f t="shared" si="23"/>
        <v>182</v>
      </c>
      <c r="V190" s="104"/>
    </row>
    <row r="191" spans="2:22" ht="12.75">
      <c r="B191" s="9">
        <v>183</v>
      </c>
      <c r="C191" s="9" t="s">
        <v>29</v>
      </c>
      <c r="D191" s="10">
        <f t="shared" si="24"/>
        <v>2107.09261628104</v>
      </c>
      <c r="E191" s="10">
        <f t="shared" si="25"/>
        <v>211.45245142749684</v>
      </c>
      <c r="F191" s="10">
        <f t="shared" si="26"/>
        <v>1895.6401648535434</v>
      </c>
      <c r="G191" s="11">
        <f t="shared" si="31"/>
        <v>99601.53652034495</v>
      </c>
      <c r="H191" s="9"/>
      <c r="I191" s="92">
        <f t="shared" si="32"/>
        <v>183</v>
      </c>
      <c r="L191" s="9">
        <v>183</v>
      </c>
      <c r="M191" s="9" t="s">
        <v>29</v>
      </c>
      <c r="N191" s="10">
        <f t="shared" si="27"/>
        <v>2107.09261628104</v>
      </c>
      <c r="O191" s="10">
        <f t="shared" si="28"/>
        <v>239.5910989763706</v>
      </c>
      <c r="P191" s="10">
        <f t="shared" si="29"/>
        <v>1867.5015173046695</v>
      </c>
      <c r="Q191" s="11">
        <f t="shared" si="30"/>
        <v>113136.2259913532</v>
      </c>
      <c r="S191" s="92">
        <f t="shared" si="23"/>
        <v>183</v>
      </c>
      <c r="V191" s="104"/>
    </row>
    <row r="192" spans="2:22" ht="12.75">
      <c r="B192" s="9">
        <v>184</v>
      </c>
      <c r="C192" s="9" t="s">
        <v>30</v>
      </c>
      <c r="D192" s="10">
        <f t="shared" si="24"/>
        <v>2107.09261628104</v>
      </c>
      <c r="E192" s="10">
        <f t="shared" si="25"/>
        <v>207.50320108405197</v>
      </c>
      <c r="F192" s="10">
        <f t="shared" si="26"/>
        <v>1899.5894151969883</v>
      </c>
      <c r="G192" s="11">
        <f t="shared" si="31"/>
        <v>97701.94710514796</v>
      </c>
      <c r="H192" s="9"/>
      <c r="I192" s="92">
        <f t="shared" si="32"/>
        <v>184</v>
      </c>
      <c r="L192" s="9">
        <v>184</v>
      </c>
      <c r="M192" s="9" t="s">
        <v>30</v>
      </c>
      <c r="N192" s="10">
        <f t="shared" si="27"/>
        <v>2107.09261628104</v>
      </c>
      <c r="O192" s="10">
        <f t="shared" si="28"/>
        <v>235.70047081531916</v>
      </c>
      <c r="P192" s="10">
        <f t="shared" si="29"/>
        <v>1871.392145465721</v>
      </c>
      <c r="Q192" s="11">
        <f t="shared" si="30"/>
        <v>111264.83384588748</v>
      </c>
      <c r="S192" s="92">
        <f t="shared" si="23"/>
        <v>184</v>
      </c>
      <c r="V192" s="104"/>
    </row>
    <row r="193" spans="2:22" ht="12.75">
      <c r="B193" s="9">
        <v>185</v>
      </c>
      <c r="C193" s="9" t="s">
        <v>31</v>
      </c>
      <c r="D193" s="10">
        <f t="shared" si="24"/>
        <v>2107.09261628104</v>
      </c>
      <c r="E193" s="10">
        <f t="shared" si="25"/>
        <v>203.5457231357249</v>
      </c>
      <c r="F193" s="10">
        <f t="shared" si="26"/>
        <v>1903.5468931453152</v>
      </c>
      <c r="G193" s="11">
        <f t="shared" si="31"/>
        <v>95798.40021200264</v>
      </c>
      <c r="H193" s="9"/>
      <c r="I193" s="92">
        <f t="shared" si="32"/>
        <v>185</v>
      </c>
      <c r="L193" s="9">
        <v>185</v>
      </c>
      <c r="M193" s="9" t="s">
        <v>31</v>
      </c>
      <c r="N193" s="10">
        <f t="shared" si="27"/>
        <v>2107.09261628104</v>
      </c>
      <c r="O193" s="10">
        <f t="shared" si="28"/>
        <v>231.80173717893226</v>
      </c>
      <c r="P193" s="10">
        <f t="shared" si="29"/>
        <v>1875.290879102108</v>
      </c>
      <c r="Q193" s="11">
        <f t="shared" si="30"/>
        <v>109389.54296678538</v>
      </c>
      <c r="S193" s="92">
        <f t="shared" si="23"/>
        <v>185</v>
      </c>
      <c r="V193" s="104"/>
    </row>
    <row r="194" spans="2:22" ht="12.75">
      <c r="B194" s="9">
        <v>186</v>
      </c>
      <c r="C194" s="9" t="s">
        <v>32</v>
      </c>
      <c r="D194" s="10">
        <f t="shared" si="24"/>
        <v>2107.09261628104</v>
      </c>
      <c r="E194" s="10">
        <f t="shared" si="25"/>
        <v>199.58000044167215</v>
      </c>
      <c r="F194" s="10">
        <f t="shared" si="26"/>
        <v>1907.512615839368</v>
      </c>
      <c r="G194" s="11">
        <f t="shared" si="31"/>
        <v>93890.88759616327</v>
      </c>
      <c r="H194" s="9"/>
      <c r="I194" s="92">
        <f t="shared" si="32"/>
        <v>186</v>
      </c>
      <c r="L194" s="9">
        <v>186</v>
      </c>
      <c r="M194" s="9" t="s">
        <v>32</v>
      </c>
      <c r="N194" s="10">
        <f t="shared" si="27"/>
        <v>2107.09261628104</v>
      </c>
      <c r="O194" s="10">
        <f t="shared" si="28"/>
        <v>227.89488118080286</v>
      </c>
      <c r="P194" s="10">
        <f t="shared" si="29"/>
        <v>1879.1977351002372</v>
      </c>
      <c r="Q194" s="11">
        <f t="shared" si="30"/>
        <v>107510.34523168513</v>
      </c>
      <c r="S194" s="92">
        <f t="shared" si="23"/>
        <v>186</v>
      </c>
      <c r="V194" s="104"/>
    </row>
    <row r="195" spans="2:22" ht="12.75">
      <c r="B195" s="9">
        <v>187</v>
      </c>
      <c r="C195" s="9" t="s">
        <v>33</v>
      </c>
      <c r="D195" s="10">
        <f t="shared" si="24"/>
        <v>2107.09261628104</v>
      </c>
      <c r="E195" s="10">
        <f t="shared" si="25"/>
        <v>195.60601582534014</v>
      </c>
      <c r="F195" s="10">
        <f t="shared" si="26"/>
        <v>1911.4866004557</v>
      </c>
      <c r="G195" s="11">
        <f t="shared" si="31"/>
        <v>91979.40099570758</v>
      </c>
      <c r="H195" s="9"/>
      <c r="I195" s="92">
        <f t="shared" si="32"/>
        <v>187</v>
      </c>
      <c r="L195" s="9">
        <v>187</v>
      </c>
      <c r="M195" s="9" t="s">
        <v>33</v>
      </c>
      <c r="N195" s="10">
        <f t="shared" si="27"/>
        <v>2107.09261628104</v>
      </c>
      <c r="O195" s="10">
        <f t="shared" si="28"/>
        <v>223.97988589934403</v>
      </c>
      <c r="P195" s="10">
        <f t="shared" si="29"/>
        <v>1883.112730381696</v>
      </c>
      <c r="Q195" s="11">
        <f t="shared" si="30"/>
        <v>105627.23250130344</v>
      </c>
      <c r="S195" s="92">
        <f t="shared" si="23"/>
        <v>187</v>
      </c>
      <c r="V195" s="104"/>
    </row>
    <row r="196" spans="2:22" ht="12.75">
      <c r="B196" s="9">
        <v>188</v>
      </c>
      <c r="C196" s="9" t="s">
        <v>34</v>
      </c>
      <c r="D196" s="10">
        <f t="shared" si="24"/>
        <v>2107.09261628104</v>
      </c>
      <c r="E196" s="10">
        <f t="shared" si="25"/>
        <v>191.6237520743908</v>
      </c>
      <c r="F196" s="10">
        <f t="shared" si="26"/>
        <v>1915.4688642066494</v>
      </c>
      <c r="G196" s="11">
        <f t="shared" si="31"/>
        <v>90063.93213150093</v>
      </c>
      <c r="H196" s="9"/>
      <c r="I196" s="92">
        <f t="shared" si="32"/>
        <v>188</v>
      </c>
      <c r="L196" s="9">
        <v>188</v>
      </c>
      <c r="M196" s="9" t="s">
        <v>34</v>
      </c>
      <c r="N196" s="10">
        <f t="shared" si="27"/>
        <v>2107.09261628104</v>
      </c>
      <c r="O196" s="10">
        <f t="shared" si="28"/>
        <v>220.05673437771551</v>
      </c>
      <c r="P196" s="10">
        <f t="shared" si="29"/>
        <v>1887.0358819033247</v>
      </c>
      <c r="Q196" s="11">
        <f t="shared" si="30"/>
        <v>103740.19661940011</v>
      </c>
      <c r="S196" s="92">
        <f t="shared" si="23"/>
        <v>188</v>
      </c>
      <c r="V196" s="104"/>
    </row>
    <row r="197" spans="2:22" ht="12.75">
      <c r="B197" s="9">
        <v>189</v>
      </c>
      <c r="C197" s="9" t="s">
        <v>35</v>
      </c>
      <c r="D197" s="10">
        <f t="shared" si="24"/>
        <v>2107.09261628104</v>
      </c>
      <c r="E197" s="10">
        <f t="shared" si="25"/>
        <v>187.63319194062694</v>
      </c>
      <c r="F197" s="10">
        <f t="shared" si="26"/>
        <v>1919.459424340413</v>
      </c>
      <c r="G197" s="11">
        <f t="shared" si="31"/>
        <v>88144.47270716052</v>
      </c>
      <c r="H197" s="9"/>
      <c r="I197" s="92">
        <f t="shared" si="32"/>
        <v>189</v>
      </c>
      <c r="L197" s="9">
        <v>189</v>
      </c>
      <c r="M197" s="9" t="s">
        <v>35</v>
      </c>
      <c r="N197" s="10">
        <f t="shared" si="27"/>
        <v>2107.09261628104</v>
      </c>
      <c r="O197" s="10">
        <f t="shared" si="28"/>
        <v>216.12540962375022</v>
      </c>
      <c r="P197" s="10">
        <f t="shared" si="29"/>
        <v>1890.9672066572898</v>
      </c>
      <c r="Q197" s="11">
        <f t="shared" si="30"/>
        <v>101849.22941274282</v>
      </c>
      <c r="S197" s="92">
        <f t="shared" si="23"/>
        <v>189</v>
      </c>
      <c r="V197" s="104"/>
    </row>
    <row r="198" spans="2:22" ht="12.75">
      <c r="B198" s="9">
        <v>190</v>
      </c>
      <c r="C198" s="9" t="s">
        <v>36</v>
      </c>
      <c r="D198" s="10">
        <f t="shared" si="24"/>
        <v>2107.09261628104</v>
      </c>
      <c r="E198" s="10">
        <f t="shared" si="25"/>
        <v>183.63431813991772</v>
      </c>
      <c r="F198" s="10">
        <f t="shared" si="26"/>
        <v>1923.4582981411224</v>
      </c>
      <c r="G198" s="11">
        <f t="shared" si="31"/>
        <v>86221.0144090194</v>
      </c>
      <c r="H198" s="9"/>
      <c r="I198" s="92">
        <f t="shared" si="32"/>
        <v>190</v>
      </c>
      <c r="L198" s="9">
        <v>190</v>
      </c>
      <c r="M198" s="9" t="s">
        <v>36</v>
      </c>
      <c r="N198" s="10">
        <f t="shared" si="27"/>
        <v>2107.09261628104</v>
      </c>
      <c r="O198" s="10">
        <f t="shared" si="28"/>
        <v>212.18589460988088</v>
      </c>
      <c r="P198" s="10">
        <f t="shared" si="29"/>
        <v>1894.9067216711592</v>
      </c>
      <c r="Q198" s="11">
        <f t="shared" si="30"/>
        <v>99954.32269107166</v>
      </c>
      <c r="S198" s="92">
        <f aca="true" t="shared" si="33" ref="S198:S261">IF(O198&gt;0,L198,"")</f>
        <v>190</v>
      </c>
      <c r="V198" s="104"/>
    </row>
    <row r="199" spans="2:22" ht="12.75">
      <c r="B199" s="9">
        <v>191</v>
      </c>
      <c r="C199" s="9" t="s">
        <v>37</v>
      </c>
      <c r="D199" s="10">
        <f t="shared" si="24"/>
        <v>2107.09261628104</v>
      </c>
      <c r="E199" s="10">
        <f t="shared" si="25"/>
        <v>179.62711335212373</v>
      </c>
      <c r="F199" s="10">
        <f t="shared" si="26"/>
        <v>1927.4655029289165</v>
      </c>
      <c r="G199" s="11">
        <f t="shared" si="31"/>
        <v>84293.54890609048</v>
      </c>
      <c r="H199" s="9"/>
      <c r="I199" s="92">
        <f t="shared" si="32"/>
        <v>191</v>
      </c>
      <c r="L199" s="9">
        <v>191</v>
      </c>
      <c r="M199" s="9" t="s">
        <v>37</v>
      </c>
      <c r="N199" s="10">
        <f t="shared" si="27"/>
        <v>2107.09261628104</v>
      </c>
      <c r="O199" s="10">
        <f t="shared" si="28"/>
        <v>208.23817227306597</v>
      </c>
      <c r="P199" s="10">
        <f t="shared" si="29"/>
        <v>1898.854444007974</v>
      </c>
      <c r="Q199" s="11">
        <f t="shared" si="30"/>
        <v>98055.46824706369</v>
      </c>
      <c r="S199" s="92">
        <f t="shared" si="33"/>
        <v>191</v>
      </c>
      <c r="V199" s="104"/>
    </row>
    <row r="200" spans="2:22" ht="12.75">
      <c r="B200" s="9">
        <v>192</v>
      </c>
      <c r="C200" s="9" t="s">
        <v>38</v>
      </c>
      <c r="D200" s="10">
        <f t="shared" si="24"/>
        <v>2107.09261628104</v>
      </c>
      <c r="E200" s="10">
        <f t="shared" si="25"/>
        <v>175.61156022102185</v>
      </c>
      <c r="F200" s="10">
        <f t="shared" si="26"/>
        <v>1931.4810560600183</v>
      </c>
      <c r="G200" s="11">
        <f t="shared" si="31"/>
        <v>82362.06785003046</v>
      </c>
      <c r="H200" s="9"/>
      <c r="I200" s="92">
        <f t="shared" si="32"/>
        <v>192</v>
      </c>
      <c r="L200" s="9">
        <v>192</v>
      </c>
      <c r="M200" s="9" t="s">
        <v>38</v>
      </c>
      <c r="N200" s="10">
        <f t="shared" si="27"/>
        <v>2107.09261628104</v>
      </c>
      <c r="O200" s="10">
        <f t="shared" si="28"/>
        <v>204.28222551471603</v>
      </c>
      <c r="P200" s="10">
        <f t="shared" si="29"/>
        <v>1902.8103907663242</v>
      </c>
      <c r="Q200" s="11">
        <f t="shared" si="30"/>
        <v>96152.65785629737</v>
      </c>
      <c r="S200" s="92">
        <f t="shared" si="33"/>
        <v>192</v>
      </c>
      <c r="V200" s="104"/>
    </row>
    <row r="201" spans="2:22" ht="12.75">
      <c r="B201" s="84">
        <v>193</v>
      </c>
      <c r="C201" s="84" t="s">
        <v>27</v>
      </c>
      <c r="D201" s="85">
        <f t="shared" si="24"/>
        <v>2107.09261628104</v>
      </c>
      <c r="E201" s="85">
        <f t="shared" si="25"/>
        <v>171.58764135423016</v>
      </c>
      <c r="F201" s="85">
        <f t="shared" si="26"/>
        <v>1935.50497492681</v>
      </c>
      <c r="G201" s="86">
        <f t="shared" si="31"/>
        <v>79292.92795112076</v>
      </c>
      <c r="H201" s="68">
        <f>IF((G200-F201)&gt;Energie!S25,Energie!S25,(G200-F201))</f>
        <v>1133.6349239829053</v>
      </c>
      <c r="I201" s="92">
        <f t="shared" si="32"/>
        <v>193</v>
      </c>
      <c r="K201">
        <v>16</v>
      </c>
      <c r="L201" s="84">
        <v>193</v>
      </c>
      <c r="M201" s="84" t="s">
        <v>27</v>
      </c>
      <c r="N201" s="85">
        <f t="shared" si="27"/>
        <v>2107.09261628104</v>
      </c>
      <c r="O201" s="85">
        <f t="shared" si="28"/>
        <v>200.31803720061953</v>
      </c>
      <c r="P201" s="85">
        <f t="shared" si="29"/>
        <v>1906.7745790804206</v>
      </c>
      <c r="Q201" s="86">
        <f t="shared" si="30"/>
        <v>94245.88327721696</v>
      </c>
      <c r="S201" s="92">
        <f t="shared" si="33"/>
        <v>193</v>
      </c>
      <c r="T201" s="128">
        <f>SUM(N189:N200)</f>
        <v>25285.111395372474</v>
      </c>
      <c r="U201" s="128">
        <f>(SUM(N189:N200)+U189)</f>
        <v>404561.7823259597</v>
      </c>
      <c r="V201" s="104"/>
    </row>
    <row r="202" spans="2:22" ht="12.75">
      <c r="B202" s="9">
        <v>194</v>
      </c>
      <c r="C202" s="9" t="s">
        <v>28</v>
      </c>
      <c r="D202" s="10">
        <f aca="true" t="shared" si="34" ref="D202:D265">IF(G201&lt;D$5,G201+E202,D$5)</f>
        <v>2107.09261628104</v>
      </c>
      <c r="E202" s="10">
        <f aca="true" t="shared" si="35" ref="E202:E265">IF(G201/100*E$5/12&lt;0,0,G201/100*E$5/12)</f>
        <v>165.19359989816826</v>
      </c>
      <c r="F202" s="10">
        <f aca="true" t="shared" si="36" ref="F202:F265">D202-E202</f>
        <v>1941.8990163828719</v>
      </c>
      <c r="G202" s="11">
        <f t="shared" si="31"/>
        <v>77351.02893473789</v>
      </c>
      <c r="H202" s="9"/>
      <c r="I202" s="92">
        <f t="shared" si="32"/>
        <v>194</v>
      </c>
      <c r="L202" s="9">
        <v>194</v>
      </c>
      <c r="M202" s="9" t="s">
        <v>28</v>
      </c>
      <c r="N202" s="10">
        <f aca="true" t="shared" si="37" ref="N202:N265">IF(Q201&lt;D$5,Q201+O202,D$5)</f>
        <v>2107.09261628104</v>
      </c>
      <c r="O202" s="10">
        <f aca="true" t="shared" si="38" ref="O202:O265">IF(Q201/100*E$5/12&lt;0,0,Q201/100*E$5/12)</f>
        <v>196.34559016086868</v>
      </c>
      <c r="P202" s="10">
        <f aca="true" t="shared" si="39" ref="P202:P265">N202-O202</f>
        <v>1910.7470261201715</v>
      </c>
      <c r="Q202" s="11">
        <f t="shared" si="30"/>
        <v>92335.13625109679</v>
      </c>
      <c r="S202" s="92">
        <f t="shared" si="33"/>
        <v>194</v>
      </c>
      <c r="V202" s="104"/>
    </row>
    <row r="203" spans="2:22" ht="12.75">
      <c r="B203" s="9">
        <v>195</v>
      </c>
      <c r="C203" s="9" t="s">
        <v>29</v>
      </c>
      <c r="D203" s="10">
        <f t="shared" si="34"/>
        <v>2107.09261628104</v>
      </c>
      <c r="E203" s="10">
        <f t="shared" si="35"/>
        <v>161.14797694737058</v>
      </c>
      <c r="F203" s="10">
        <f t="shared" si="36"/>
        <v>1945.9446393336696</v>
      </c>
      <c r="G203" s="11">
        <f t="shared" si="31"/>
        <v>75405.08429540422</v>
      </c>
      <c r="H203" s="9"/>
      <c r="I203" s="92">
        <f t="shared" si="32"/>
        <v>195</v>
      </c>
      <c r="L203" s="9">
        <v>195</v>
      </c>
      <c r="M203" s="9" t="s">
        <v>29</v>
      </c>
      <c r="N203" s="10">
        <f t="shared" si="37"/>
        <v>2107.09261628104</v>
      </c>
      <c r="O203" s="10">
        <f t="shared" si="38"/>
        <v>192.36486718978497</v>
      </c>
      <c r="P203" s="10">
        <f t="shared" si="39"/>
        <v>1914.7277490912552</v>
      </c>
      <c r="Q203" s="11">
        <f aca="true" t="shared" si="40" ref="Q203:Q266">Q202-P203</f>
        <v>90420.40850200554</v>
      </c>
      <c r="S203" s="92">
        <f t="shared" si="33"/>
        <v>195</v>
      </c>
      <c r="V203" s="104"/>
    </row>
    <row r="204" spans="2:22" ht="12.75">
      <c r="B204" s="9">
        <v>196</v>
      </c>
      <c r="C204" s="9" t="s">
        <v>30</v>
      </c>
      <c r="D204" s="10">
        <f t="shared" si="34"/>
        <v>2107.09261628104</v>
      </c>
      <c r="E204" s="10">
        <f t="shared" si="35"/>
        <v>157.09392561542546</v>
      </c>
      <c r="F204" s="10">
        <f t="shared" si="36"/>
        <v>1949.9986906656147</v>
      </c>
      <c r="G204" s="11">
        <f aca="true" t="shared" si="41" ref="G204:G267">G203-F204-H204</f>
        <v>73455.0856047386</v>
      </c>
      <c r="H204" s="9"/>
      <c r="I204" s="92">
        <f t="shared" si="32"/>
        <v>196</v>
      </c>
      <c r="L204" s="9">
        <v>196</v>
      </c>
      <c r="M204" s="9" t="s">
        <v>30</v>
      </c>
      <c r="N204" s="10">
        <f t="shared" si="37"/>
        <v>2107.09261628104</v>
      </c>
      <c r="O204" s="10">
        <f t="shared" si="38"/>
        <v>188.37585104584488</v>
      </c>
      <c r="P204" s="10">
        <f t="shared" si="39"/>
        <v>1918.7167652351952</v>
      </c>
      <c r="Q204" s="11">
        <f t="shared" si="40"/>
        <v>88501.69173677034</v>
      </c>
      <c r="S204" s="92">
        <f t="shared" si="33"/>
        <v>196</v>
      </c>
      <c r="V204" s="104"/>
    </row>
    <row r="205" spans="2:22" ht="12.75">
      <c r="B205" s="9">
        <v>197</v>
      </c>
      <c r="C205" s="9" t="s">
        <v>31</v>
      </c>
      <c r="D205" s="10">
        <f t="shared" si="34"/>
        <v>2107.09261628104</v>
      </c>
      <c r="E205" s="10">
        <f t="shared" si="35"/>
        <v>153.03142834320542</v>
      </c>
      <c r="F205" s="10">
        <f t="shared" si="36"/>
        <v>1954.0611879378348</v>
      </c>
      <c r="G205" s="11">
        <f t="shared" si="41"/>
        <v>71501.02441680076</v>
      </c>
      <c r="H205" s="9"/>
      <c r="I205" s="92">
        <f t="shared" si="32"/>
        <v>197</v>
      </c>
      <c r="L205" s="9">
        <v>197</v>
      </c>
      <c r="M205" s="9" t="s">
        <v>31</v>
      </c>
      <c r="N205" s="10">
        <f t="shared" si="37"/>
        <v>2107.09261628104</v>
      </c>
      <c r="O205" s="10">
        <f t="shared" si="38"/>
        <v>184.37852445160487</v>
      </c>
      <c r="P205" s="10">
        <f t="shared" si="39"/>
        <v>1922.7140918294353</v>
      </c>
      <c r="Q205" s="11">
        <f t="shared" si="40"/>
        <v>86578.97764494091</v>
      </c>
      <c r="S205" s="92">
        <f t="shared" si="33"/>
        <v>197</v>
      </c>
      <c r="V205" s="104"/>
    </row>
    <row r="206" spans="2:22" ht="12.75">
      <c r="B206" s="9">
        <v>198</v>
      </c>
      <c r="C206" s="9" t="s">
        <v>32</v>
      </c>
      <c r="D206" s="10">
        <f t="shared" si="34"/>
        <v>2107.09261628104</v>
      </c>
      <c r="E206" s="10">
        <f t="shared" si="35"/>
        <v>148.96046753500158</v>
      </c>
      <c r="F206" s="10">
        <f t="shared" si="36"/>
        <v>1958.1321487460386</v>
      </c>
      <c r="G206" s="11">
        <f t="shared" si="41"/>
        <v>69542.89226805473</v>
      </c>
      <c r="H206" s="9"/>
      <c r="I206" s="92">
        <f t="shared" si="32"/>
        <v>198</v>
      </c>
      <c r="L206" s="9">
        <v>198</v>
      </c>
      <c r="M206" s="9" t="s">
        <v>32</v>
      </c>
      <c r="N206" s="10">
        <f t="shared" si="37"/>
        <v>2107.09261628104</v>
      </c>
      <c r="O206" s="10">
        <f t="shared" si="38"/>
        <v>180.37287009362691</v>
      </c>
      <c r="P206" s="10">
        <f t="shared" si="39"/>
        <v>1926.7197461874132</v>
      </c>
      <c r="Q206" s="11">
        <f t="shared" si="40"/>
        <v>84652.2578987535</v>
      </c>
      <c r="S206" s="92">
        <f t="shared" si="33"/>
        <v>198</v>
      </c>
      <c r="V206" s="104"/>
    </row>
    <row r="207" spans="2:22" ht="12.75">
      <c r="B207" s="9">
        <v>199</v>
      </c>
      <c r="C207" s="9" t="s">
        <v>33</v>
      </c>
      <c r="D207" s="10">
        <f t="shared" si="34"/>
        <v>2107.09261628104</v>
      </c>
      <c r="E207" s="10">
        <f t="shared" si="35"/>
        <v>144.88102555844733</v>
      </c>
      <c r="F207" s="10">
        <f t="shared" si="36"/>
        <v>1962.2115907225927</v>
      </c>
      <c r="G207" s="11">
        <f t="shared" si="41"/>
        <v>67580.68067733213</v>
      </c>
      <c r="H207" s="9"/>
      <c r="I207" s="92">
        <f t="shared" si="32"/>
        <v>199</v>
      </c>
      <c r="L207" s="9">
        <v>199</v>
      </c>
      <c r="M207" s="9" t="s">
        <v>33</v>
      </c>
      <c r="N207" s="10">
        <f t="shared" si="37"/>
        <v>2107.09261628104</v>
      </c>
      <c r="O207" s="10">
        <f t="shared" si="38"/>
        <v>176.35887062240315</v>
      </c>
      <c r="P207" s="10">
        <f t="shared" si="39"/>
        <v>1930.733745658637</v>
      </c>
      <c r="Q207" s="11">
        <f t="shared" si="40"/>
        <v>82721.52415309486</v>
      </c>
      <c r="S207" s="92">
        <f t="shared" si="33"/>
        <v>199</v>
      </c>
      <c r="V207" s="104"/>
    </row>
    <row r="208" spans="2:22" ht="12.75">
      <c r="B208" s="9">
        <v>200</v>
      </c>
      <c r="C208" s="9" t="s">
        <v>34</v>
      </c>
      <c r="D208" s="10">
        <f t="shared" si="34"/>
        <v>2107.09261628104</v>
      </c>
      <c r="E208" s="10">
        <f t="shared" si="35"/>
        <v>140.79308474444193</v>
      </c>
      <c r="F208" s="10">
        <f t="shared" si="36"/>
        <v>1966.2995315365981</v>
      </c>
      <c r="G208" s="11">
        <f t="shared" si="41"/>
        <v>65614.38114579553</v>
      </c>
      <c r="H208" s="9"/>
      <c r="I208" s="92">
        <f t="shared" si="32"/>
        <v>200</v>
      </c>
      <c r="L208" s="9">
        <v>200</v>
      </c>
      <c r="M208" s="9" t="s">
        <v>34</v>
      </c>
      <c r="N208" s="10">
        <f t="shared" si="37"/>
        <v>2107.09261628104</v>
      </c>
      <c r="O208" s="10">
        <f t="shared" si="38"/>
        <v>172.33650865228094</v>
      </c>
      <c r="P208" s="10">
        <f t="shared" si="39"/>
        <v>1934.7561076287593</v>
      </c>
      <c r="Q208" s="11">
        <f t="shared" si="40"/>
        <v>80786.7680454661</v>
      </c>
      <c r="S208" s="92">
        <f t="shared" si="33"/>
        <v>200</v>
      </c>
      <c r="V208" s="104"/>
    </row>
    <row r="209" spans="2:22" ht="12.75">
      <c r="B209" s="9">
        <v>201</v>
      </c>
      <c r="C209" s="9" t="s">
        <v>35</v>
      </c>
      <c r="D209" s="10">
        <f t="shared" si="34"/>
        <v>2107.09261628104</v>
      </c>
      <c r="E209" s="10">
        <f t="shared" si="35"/>
        <v>136.69662738707402</v>
      </c>
      <c r="F209" s="10">
        <f t="shared" si="36"/>
        <v>1970.3959888939662</v>
      </c>
      <c r="G209" s="11">
        <f t="shared" si="41"/>
        <v>63643.98515690157</v>
      </c>
      <c r="H209" s="9"/>
      <c r="I209" s="92">
        <f t="shared" si="32"/>
        <v>201</v>
      </c>
      <c r="L209" s="9">
        <v>201</v>
      </c>
      <c r="M209" s="9" t="s">
        <v>35</v>
      </c>
      <c r="N209" s="10">
        <f t="shared" si="37"/>
        <v>2107.09261628104</v>
      </c>
      <c r="O209" s="10">
        <f t="shared" si="38"/>
        <v>168.30576676138773</v>
      </c>
      <c r="P209" s="10">
        <f t="shared" si="39"/>
        <v>1938.7868495196524</v>
      </c>
      <c r="Q209" s="11">
        <f t="shared" si="40"/>
        <v>78847.98119594646</v>
      </c>
      <c r="S209" s="92">
        <f t="shared" si="33"/>
        <v>201</v>
      </c>
      <c r="V209" s="104"/>
    </row>
    <row r="210" spans="2:22" ht="12.75">
      <c r="B210" s="9">
        <v>202</v>
      </c>
      <c r="C210" s="9" t="s">
        <v>36</v>
      </c>
      <c r="D210" s="10">
        <f t="shared" si="34"/>
        <v>2107.09261628104</v>
      </c>
      <c r="E210" s="10">
        <f t="shared" si="35"/>
        <v>132.5916357435449</v>
      </c>
      <c r="F210" s="10">
        <f t="shared" si="36"/>
        <v>1974.5009805374953</v>
      </c>
      <c r="G210" s="11">
        <f t="shared" si="41"/>
        <v>61669.48417636407</v>
      </c>
      <c r="H210" s="9"/>
      <c r="I210" s="92">
        <f t="shared" si="32"/>
        <v>202</v>
      </c>
      <c r="L210" s="9">
        <v>202</v>
      </c>
      <c r="M210" s="9" t="s">
        <v>36</v>
      </c>
      <c r="N210" s="10">
        <f t="shared" si="37"/>
        <v>2107.09261628104</v>
      </c>
      <c r="O210" s="10">
        <f t="shared" si="38"/>
        <v>164.2666274915551</v>
      </c>
      <c r="P210" s="10">
        <f t="shared" si="39"/>
        <v>1942.825988789485</v>
      </c>
      <c r="Q210" s="11">
        <f t="shared" si="40"/>
        <v>76905.15520715697</v>
      </c>
      <c r="S210" s="92">
        <f t="shared" si="33"/>
        <v>202</v>
      </c>
      <c r="V210" s="104"/>
    </row>
    <row r="211" spans="2:22" ht="12.75">
      <c r="B211" s="9">
        <v>203</v>
      </c>
      <c r="C211" s="9" t="s">
        <v>37</v>
      </c>
      <c r="D211" s="10">
        <f t="shared" si="34"/>
        <v>2107.09261628104</v>
      </c>
      <c r="E211" s="10">
        <f t="shared" si="35"/>
        <v>128.47809203409182</v>
      </c>
      <c r="F211" s="10">
        <f t="shared" si="36"/>
        <v>1978.6145242469483</v>
      </c>
      <c r="G211" s="11">
        <f t="shared" si="41"/>
        <v>59690.86965211712</v>
      </c>
      <c r="H211" s="9"/>
      <c r="I211" s="92">
        <f t="shared" si="32"/>
        <v>203</v>
      </c>
      <c r="L211" s="9">
        <v>203</v>
      </c>
      <c r="M211" s="9" t="s">
        <v>37</v>
      </c>
      <c r="N211" s="10">
        <f t="shared" si="37"/>
        <v>2107.09261628104</v>
      </c>
      <c r="O211" s="10">
        <f t="shared" si="38"/>
        <v>160.2190733482437</v>
      </c>
      <c r="P211" s="10">
        <f t="shared" si="39"/>
        <v>1946.8735429327965</v>
      </c>
      <c r="Q211" s="11">
        <f t="shared" si="40"/>
        <v>74958.28166422418</v>
      </c>
      <c r="S211" s="92">
        <f t="shared" si="33"/>
        <v>203</v>
      </c>
      <c r="V211" s="104"/>
    </row>
    <row r="212" spans="2:22" ht="12.75">
      <c r="B212" s="9">
        <v>204</v>
      </c>
      <c r="C212" s="9" t="s">
        <v>38</v>
      </c>
      <c r="D212" s="10">
        <f t="shared" si="34"/>
        <v>2107.09261628104</v>
      </c>
      <c r="E212" s="10">
        <f t="shared" si="35"/>
        <v>124.35597844191068</v>
      </c>
      <c r="F212" s="10">
        <f t="shared" si="36"/>
        <v>1982.7366378391293</v>
      </c>
      <c r="G212" s="11">
        <f t="shared" si="41"/>
        <v>57708.13301427799</v>
      </c>
      <c r="H212" s="9"/>
      <c r="I212" s="92">
        <f t="shared" si="32"/>
        <v>204</v>
      </c>
      <c r="L212" s="9">
        <v>204</v>
      </c>
      <c r="M212" s="9" t="s">
        <v>38</v>
      </c>
      <c r="N212" s="10">
        <f t="shared" si="37"/>
        <v>2107.09261628104</v>
      </c>
      <c r="O212" s="10">
        <f t="shared" si="38"/>
        <v>156.16308680046703</v>
      </c>
      <c r="P212" s="10">
        <f t="shared" si="39"/>
        <v>1950.9295294805731</v>
      </c>
      <c r="Q212" s="11">
        <f t="shared" si="40"/>
        <v>73007.3521347436</v>
      </c>
      <c r="S212" s="92">
        <f t="shared" si="33"/>
        <v>204</v>
      </c>
      <c r="V212" s="104"/>
    </row>
    <row r="213" spans="2:22" ht="12.75">
      <c r="B213" s="84">
        <v>205</v>
      </c>
      <c r="C213" s="84" t="s">
        <v>27</v>
      </c>
      <c r="D213" s="85">
        <f t="shared" si="34"/>
        <v>2107.09261628104</v>
      </c>
      <c r="E213" s="85">
        <f t="shared" si="35"/>
        <v>120.22527711307914</v>
      </c>
      <c r="F213" s="85">
        <f t="shared" si="36"/>
        <v>1986.867339167961</v>
      </c>
      <c r="G213" s="86">
        <f t="shared" si="41"/>
        <v>54528.10472697634</v>
      </c>
      <c r="H213" s="68">
        <f>IF((G212-F213)&gt;Energie!S26,Energie!S26,(G212-F213))</f>
        <v>1193.1609481336895</v>
      </c>
      <c r="I213" s="92">
        <f t="shared" si="32"/>
        <v>205</v>
      </c>
      <c r="K213">
        <v>17</v>
      </c>
      <c r="L213" s="84">
        <v>205</v>
      </c>
      <c r="M213" s="84" t="s">
        <v>27</v>
      </c>
      <c r="N213" s="85">
        <f t="shared" si="37"/>
        <v>2107.09261628104</v>
      </c>
      <c r="O213" s="85">
        <f t="shared" si="38"/>
        <v>152.09865028071582</v>
      </c>
      <c r="P213" s="85">
        <f t="shared" si="39"/>
        <v>1954.9939660003242</v>
      </c>
      <c r="Q213" s="86">
        <f t="shared" si="40"/>
        <v>71052.35816874327</v>
      </c>
      <c r="S213" s="92">
        <f t="shared" si="33"/>
        <v>205</v>
      </c>
      <c r="T213" s="128">
        <f>SUM(N201:N212)</f>
        <v>25285.111395372474</v>
      </c>
      <c r="U213" s="128">
        <f>(SUM(N201:N212)+U201)</f>
        <v>429846.8937213322</v>
      </c>
      <c r="V213" s="104"/>
    </row>
    <row r="214" spans="2:22" ht="12.75">
      <c r="B214" s="9">
        <v>206</v>
      </c>
      <c r="C214" s="9" t="s">
        <v>28</v>
      </c>
      <c r="D214" s="10">
        <f t="shared" si="34"/>
        <v>2107.09261628104</v>
      </c>
      <c r="E214" s="10">
        <f t="shared" si="35"/>
        <v>113.6002181812007</v>
      </c>
      <c r="F214" s="10">
        <f t="shared" si="36"/>
        <v>1993.4923980998394</v>
      </c>
      <c r="G214" s="11">
        <f t="shared" si="41"/>
        <v>52534.612328876494</v>
      </c>
      <c r="H214" s="9"/>
      <c r="I214" s="92">
        <f t="shared" si="32"/>
        <v>206</v>
      </c>
      <c r="L214" s="9">
        <v>206</v>
      </c>
      <c r="M214" s="9" t="s">
        <v>28</v>
      </c>
      <c r="N214" s="10">
        <f t="shared" si="37"/>
        <v>2107.09261628104</v>
      </c>
      <c r="O214" s="10">
        <f t="shared" si="38"/>
        <v>148.02574618488183</v>
      </c>
      <c r="P214" s="10">
        <f t="shared" si="39"/>
        <v>1959.0668700961583</v>
      </c>
      <c r="Q214" s="11">
        <f t="shared" si="40"/>
        <v>69093.29129864712</v>
      </c>
      <c r="S214" s="92">
        <f t="shared" si="33"/>
        <v>206</v>
      </c>
      <c r="V214" s="104"/>
    </row>
    <row r="215" spans="2:22" ht="12.75">
      <c r="B215" s="9">
        <v>207</v>
      </c>
      <c r="C215" s="9" t="s">
        <v>29</v>
      </c>
      <c r="D215" s="10">
        <f t="shared" si="34"/>
        <v>2107.09261628104</v>
      </c>
      <c r="E215" s="10">
        <f t="shared" si="35"/>
        <v>109.4471090184927</v>
      </c>
      <c r="F215" s="10">
        <f t="shared" si="36"/>
        <v>1997.6455072625474</v>
      </c>
      <c r="G215" s="11">
        <f t="shared" si="41"/>
        <v>50536.96682161395</v>
      </c>
      <c r="H215" s="9"/>
      <c r="I215" s="92">
        <f t="shared" si="32"/>
        <v>207</v>
      </c>
      <c r="L215" s="9">
        <v>207</v>
      </c>
      <c r="M215" s="9" t="s">
        <v>29</v>
      </c>
      <c r="N215" s="10">
        <f t="shared" si="37"/>
        <v>2107.09261628104</v>
      </c>
      <c r="O215" s="10">
        <f t="shared" si="38"/>
        <v>143.94435687218152</v>
      </c>
      <c r="P215" s="10">
        <f t="shared" si="39"/>
        <v>1963.1482594088586</v>
      </c>
      <c r="Q215" s="11">
        <f t="shared" si="40"/>
        <v>67130.14303923826</v>
      </c>
      <c r="S215" s="92">
        <f t="shared" si="33"/>
        <v>207</v>
      </c>
      <c r="V215" s="104"/>
    </row>
    <row r="216" spans="2:22" ht="12.75">
      <c r="B216" s="9">
        <v>208</v>
      </c>
      <c r="C216" s="9" t="s">
        <v>30</v>
      </c>
      <c r="D216" s="10">
        <f t="shared" si="34"/>
        <v>2107.09261628104</v>
      </c>
      <c r="E216" s="10">
        <f t="shared" si="35"/>
        <v>105.28534754502907</v>
      </c>
      <c r="F216" s="10">
        <f t="shared" si="36"/>
        <v>2001.807268736011</v>
      </c>
      <c r="G216" s="11">
        <f t="shared" si="41"/>
        <v>48535.159552877936</v>
      </c>
      <c r="H216" s="9"/>
      <c r="I216" s="92">
        <f t="shared" si="32"/>
        <v>208</v>
      </c>
      <c r="L216" s="9">
        <v>208</v>
      </c>
      <c r="M216" s="9" t="s">
        <v>30</v>
      </c>
      <c r="N216" s="10">
        <f t="shared" si="37"/>
        <v>2107.09261628104</v>
      </c>
      <c r="O216" s="10">
        <f t="shared" si="38"/>
        <v>139.85446466507972</v>
      </c>
      <c r="P216" s="10">
        <f t="shared" si="39"/>
        <v>1967.2381516159603</v>
      </c>
      <c r="Q216" s="11">
        <f t="shared" si="40"/>
        <v>65162.9048876223</v>
      </c>
      <c r="S216" s="92">
        <f t="shared" si="33"/>
        <v>208</v>
      </c>
      <c r="V216" s="104"/>
    </row>
    <row r="217" spans="2:22" ht="12.75">
      <c r="B217" s="9">
        <v>209</v>
      </c>
      <c r="C217" s="9" t="s">
        <v>31</v>
      </c>
      <c r="D217" s="10">
        <f t="shared" si="34"/>
        <v>2107.09261628104</v>
      </c>
      <c r="E217" s="10">
        <f t="shared" si="35"/>
        <v>101.11491573516236</v>
      </c>
      <c r="F217" s="10">
        <f t="shared" si="36"/>
        <v>2005.9777005458777</v>
      </c>
      <c r="G217" s="11">
        <f t="shared" si="41"/>
        <v>46529.18185233206</v>
      </c>
      <c r="H217" s="9"/>
      <c r="I217" s="92">
        <f t="shared" si="32"/>
        <v>209</v>
      </c>
      <c r="L217" s="9">
        <v>209</v>
      </c>
      <c r="M217" s="9" t="s">
        <v>31</v>
      </c>
      <c r="N217" s="10">
        <f t="shared" si="37"/>
        <v>2107.09261628104</v>
      </c>
      <c r="O217" s="10">
        <f t="shared" si="38"/>
        <v>135.75605184921312</v>
      </c>
      <c r="P217" s="10">
        <f t="shared" si="39"/>
        <v>1971.336564431827</v>
      </c>
      <c r="Q217" s="11">
        <f t="shared" si="40"/>
        <v>63191.56832319048</v>
      </c>
      <c r="S217" s="92">
        <f t="shared" si="33"/>
        <v>209</v>
      </c>
      <c r="V217" s="104"/>
    </row>
    <row r="218" spans="2:22" ht="12.75">
      <c r="B218" s="9">
        <v>210</v>
      </c>
      <c r="C218" s="9" t="s">
        <v>32</v>
      </c>
      <c r="D218" s="10">
        <f t="shared" si="34"/>
        <v>2107.09261628104</v>
      </c>
      <c r="E218" s="10">
        <f t="shared" si="35"/>
        <v>96.93579552569179</v>
      </c>
      <c r="F218" s="10">
        <f t="shared" si="36"/>
        <v>2010.1568207553482</v>
      </c>
      <c r="G218" s="11">
        <f t="shared" si="41"/>
        <v>44519.02503157671</v>
      </c>
      <c r="H218" s="9"/>
      <c r="I218" s="92">
        <f t="shared" si="32"/>
        <v>210</v>
      </c>
      <c r="L218" s="9">
        <v>210</v>
      </c>
      <c r="M218" s="9" t="s">
        <v>32</v>
      </c>
      <c r="N218" s="10">
        <f t="shared" si="37"/>
        <v>2107.09261628104</v>
      </c>
      <c r="O218" s="10">
        <f t="shared" si="38"/>
        <v>131.64910067331348</v>
      </c>
      <c r="P218" s="10">
        <f t="shared" si="39"/>
        <v>1975.4435156077266</v>
      </c>
      <c r="Q218" s="11">
        <f t="shared" si="40"/>
        <v>61216.12480758275</v>
      </c>
      <c r="S218" s="92">
        <f t="shared" si="33"/>
        <v>210</v>
      </c>
      <c r="V218" s="104"/>
    </row>
    <row r="219" spans="2:22" ht="12.75">
      <c r="B219" s="9">
        <v>211</v>
      </c>
      <c r="C219" s="9" t="s">
        <v>33</v>
      </c>
      <c r="D219" s="10">
        <f t="shared" si="34"/>
        <v>2107.09261628104</v>
      </c>
      <c r="E219" s="10">
        <f t="shared" si="35"/>
        <v>92.74796881578482</v>
      </c>
      <c r="F219" s="10">
        <f t="shared" si="36"/>
        <v>2014.3446474652553</v>
      </c>
      <c r="G219" s="11">
        <f t="shared" si="41"/>
        <v>42504.68038411146</v>
      </c>
      <c r="H219" s="9"/>
      <c r="I219" s="92">
        <f t="shared" si="32"/>
        <v>211</v>
      </c>
      <c r="L219" s="9">
        <v>211</v>
      </c>
      <c r="M219" s="9" t="s">
        <v>33</v>
      </c>
      <c r="N219" s="10">
        <f t="shared" si="37"/>
        <v>2107.09261628104</v>
      </c>
      <c r="O219" s="10">
        <f t="shared" si="38"/>
        <v>127.53359334913074</v>
      </c>
      <c r="P219" s="10">
        <f t="shared" si="39"/>
        <v>1979.5590229319093</v>
      </c>
      <c r="Q219" s="11">
        <f t="shared" si="40"/>
        <v>59236.56578465085</v>
      </c>
      <c r="S219" s="92">
        <f t="shared" si="33"/>
        <v>211</v>
      </c>
      <c r="V219" s="104"/>
    </row>
    <row r="220" spans="2:22" ht="12.75">
      <c r="B220" s="9">
        <v>212</v>
      </c>
      <c r="C220" s="9" t="s">
        <v>34</v>
      </c>
      <c r="D220" s="10">
        <f t="shared" si="34"/>
        <v>2107.09261628104</v>
      </c>
      <c r="E220" s="10">
        <f t="shared" si="35"/>
        <v>88.55141746689888</v>
      </c>
      <c r="F220" s="10">
        <f t="shared" si="36"/>
        <v>2018.5411988141414</v>
      </c>
      <c r="G220" s="11">
        <f t="shared" si="41"/>
        <v>40486.13918529732</v>
      </c>
      <c r="H220" s="9"/>
      <c r="I220" s="92">
        <f t="shared" si="32"/>
        <v>212</v>
      </c>
      <c r="L220" s="9">
        <v>212</v>
      </c>
      <c r="M220" s="9" t="s">
        <v>34</v>
      </c>
      <c r="N220" s="10">
        <f t="shared" si="37"/>
        <v>2107.09261628104</v>
      </c>
      <c r="O220" s="10">
        <f t="shared" si="38"/>
        <v>123.40951205135593</v>
      </c>
      <c r="P220" s="10">
        <f t="shared" si="39"/>
        <v>1983.6831042296842</v>
      </c>
      <c r="Q220" s="11">
        <f t="shared" si="40"/>
        <v>57252.882680421164</v>
      </c>
      <c r="S220" s="92">
        <f t="shared" si="33"/>
        <v>212</v>
      </c>
      <c r="V220" s="104"/>
    </row>
    <row r="221" spans="2:22" ht="12.75">
      <c r="B221" s="9">
        <v>213</v>
      </c>
      <c r="C221" s="9" t="s">
        <v>35</v>
      </c>
      <c r="D221" s="10">
        <f t="shared" si="34"/>
        <v>2107.09261628104</v>
      </c>
      <c r="E221" s="10">
        <f t="shared" si="35"/>
        <v>84.34612330270274</v>
      </c>
      <c r="F221" s="10">
        <f t="shared" si="36"/>
        <v>2022.7464929783373</v>
      </c>
      <c r="G221" s="11">
        <f t="shared" si="41"/>
        <v>38463.39269231898</v>
      </c>
      <c r="H221" s="9"/>
      <c r="I221" s="92">
        <f t="shared" si="32"/>
        <v>213</v>
      </c>
      <c r="L221" s="9">
        <v>213</v>
      </c>
      <c r="M221" s="9" t="s">
        <v>35</v>
      </c>
      <c r="N221" s="10">
        <f t="shared" si="37"/>
        <v>2107.09261628104</v>
      </c>
      <c r="O221" s="10">
        <f t="shared" si="38"/>
        <v>119.27683891754411</v>
      </c>
      <c r="P221" s="10">
        <f t="shared" si="39"/>
        <v>1987.815777363496</v>
      </c>
      <c r="Q221" s="11">
        <f t="shared" si="40"/>
        <v>55265.06690305767</v>
      </c>
      <c r="S221" s="92">
        <f t="shared" si="33"/>
        <v>213</v>
      </c>
      <c r="V221" s="104"/>
    </row>
    <row r="222" spans="2:22" ht="12.75">
      <c r="B222" s="9">
        <v>214</v>
      </c>
      <c r="C222" s="9" t="s">
        <v>36</v>
      </c>
      <c r="D222" s="10">
        <f t="shared" si="34"/>
        <v>2107.09261628104</v>
      </c>
      <c r="E222" s="10">
        <f t="shared" si="35"/>
        <v>80.13206810899787</v>
      </c>
      <c r="F222" s="10">
        <f t="shared" si="36"/>
        <v>2026.9605481720423</v>
      </c>
      <c r="G222" s="11">
        <f t="shared" si="41"/>
        <v>36436.43214414694</v>
      </c>
      <c r="H222" s="9"/>
      <c r="I222" s="92">
        <f t="shared" si="32"/>
        <v>214</v>
      </c>
      <c r="L222" s="9">
        <v>214</v>
      </c>
      <c r="M222" s="9" t="s">
        <v>36</v>
      </c>
      <c r="N222" s="10">
        <f t="shared" si="37"/>
        <v>2107.09261628104</v>
      </c>
      <c r="O222" s="10">
        <f t="shared" si="38"/>
        <v>115.1355560480368</v>
      </c>
      <c r="P222" s="10">
        <f t="shared" si="39"/>
        <v>1991.9570602330034</v>
      </c>
      <c r="Q222" s="11">
        <f t="shared" si="40"/>
        <v>53273.10984282466</v>
      </c>
      <c r="S222" s="92">
        <f t="shared" si="33"/>
        <v>214</v>
      </c>
      <c r="V222" s="104"/>
    </row>
    <row r="223" spans="2:22" ht="12.75">
      <c r="B223" s="9">
        <v>215</v>
      </c>
      <c r="C223" s="9" t="s">
        <v>37</v>
      </c>
      <c r="D223" s="10">
        <f t="shared" si="34"/>
        <v>2107.09261628104</v>
      </c>
      <c r="E223" s="10">
        <f t="shared" si="35"/>
        <v>75.90923363363946</v>
      </c>
      <c r="F223" s="10">
        <f t="shared" si="36"/>
        <v>2031.1833826474008</v>
      </c>
      <c r="G223" s="11">
        <f t="shared" si="41"/>
        <v>34405.24876149953</v>
      </c>
      <c r="H223" s="9"/>
      <c r="I223" s="92">
        <f t="shared" si="32"/>
        <v>215</v>
      </c>
      <c r="L223" s="9">
        <v>215</v>
      </c>
      <c r="M223" s="9" t="s">
        <v>37</v>
      </c>
      <c r="N223" s="10">
        <f t="shared" si="37"/>
        <v>2107.09261628104</v>
      </c>
      <c r="O223" s="10">
        <f t="shared" si="38"/>
        <v>110.9856455058847</v>
      </c>
      <c r="P223" s="10">
        <f t="shared" si="39"/>
        <v>1996.1069707751553</v>
      </c>
      <c r="Q223" s="11">
        <f t="shared" si="40"/>
        <v>51277.00287204951</v>
      </c>
      <c r="S223" s="92">
        <f t="shared" si="33"/>
        <v>215</v>
      </c>
      <c r="V223" s="104"/>
    </row>
    <row r="224" spans="2:22" ht="12.75">
      <c r="B224" s="9">
        <v>216</v>
      </c>
      <c r="C224" s="9" t="s">
        <v>38</v>
      </c>
      <c r="D224" s="10">
        <f t="shared" si="34"/>
        <v>2107.09261628104</v>
      </c>
      <c r="E224" s="10">
        <f t="shared" si="35"/>
        <v>71.67760158645736</v>
      </c>
      <c r="F224" s="10">
        <f t="shared" si="36"/>
        <v>2035.4150146945829</v>
      </c>
      <c r="G224" s="11">
        <f t="shared" si="41"/>
        <v>32369.83374680495</v>
      </c>
      <c r="H224" s="9"/>
      <c r="I224" s="92">
        <f t="shared" si="32"/>
        <v>216</v>
      </c>
      <c r="L224" s="9">
        <v>216</v>
      </c>
      <c r="M224" s="9" t="s">
        <v>38</v>
      </c>
      <c r="N224" s="10">
        <f t="shared" si="37"/>
        <v>2107.09261628104</v>
      </c>
      <c r="O224" s="10">
        <f t="shared" si="38"/>
        <v>106.82708931676983</v>
      </c>
      <c r="P224" s="10">
        <f t="shared" si="39"/>
        <v>2000.2655269642703</v>
      </c>
      <c r="Q224" s="11">
        <f t="shared" si="40"/>
        <v>49276.73734508524</v>
      </c>
      <c r="S224" s="92">
        <f t="shared" si="33"/>
        <v>216</v>
      </c>
      <c r="V224" s="104"/>
    </row>
    <row r="225" spans="2:22" ht="12.75">
      <c r="B225" s="84">
        <v>217</v>
      </c>
      <c r="C225" s="84" t="s">
        <v>27</v>
      </c>
      <c r="D225" s="85">
        <f t="shared" si="34"/>
        <v>2107.09261628104</v>
      </c>
      <c r="E225" s="85">
        <f t="shared" si="35"/>
        <v>67.43715363917697</v>
      </c>
      <c r="F225" s="85">
        <f t="shared" si="36"/>
        <v>2039.655462641863</v>
      </c>
      <c r="G225" s="86">
        <f t="shared" si="41"/>
        <v>29074.472346501803</v>
      </c>
      <c r="H225" s="68">
        <f>IF((G224-F225)&gt;Energie!S27,Energie!S27,(G224-F225))</f>
        <v>1255.705937661287</v>
      </c>
      <c r="I225" s="92">
        <f t="shared" si="32"/>
        <v>217</v>
      </c>
      <c r="K225">
        <v>18</v>
      </c>
      <c r="L225" s="84">
        <v>217</v>
      </c>
      <c r="M225" s="84" t="s">
        <v>27</v>
      </c>
      <c r="N225" s="85">
        <f t="shared" si="37"/>
        <v>2107.09261628104</v>
      </c>
      <c r="O225" s="85">
        <f t="shared" si="38"/>
        <v>102.65986946892758</v>
      </c>
      <c r="P225" s="85">
        <f t="shared" si="39"/>
        <v>2004.4327468121126</v>
      </c>
      <c r="Q225" s="86">
        <f t="shared" si="40"/>
        <v>47272.30459827313</v>
      </c>
      <c r="S225" s="92">
        <f t="shared" si="33"/>
        <v>217</v>
      </c>
      <c r="T225" s="128">
        <f>SUM(N213:N224)</f>
        <v>25285.111395372474</v>
      </c>
      <c r="U225" s="128">
        <f>(SUM(N213:N224)+U213)</f>
        <v>455132.0051167047</v>
      </c>
      <c r="V225" s="104"/>
    </row>
    <row r="226" spans="2:22" ht="12.75">
      <c r="B226" s="9">
        <v>218</v>
      </c>
      <c r="C226" s="9" t="s">
        <v>28</v>
      </c>
      <c r="D226" s="10">
        <f t="shared" si="34"/>
        <v>2107.09261628104</v>
      </c>
      <c r="E226" s="10">
        <f t="shared" si="35"/>
        <v>60.57181738854542</v>
      </c>
      <c r="F226" s="10">
        <f t="shared" si="36"/>
        <v>2046.5207988924947</v>
      </c>
      <c r="G226" s="11">
        <f t="shared" si="41"/>
        <v>27027.951547609307</v>
      </c>
      <c r="H226" s="9"/>
      <c r="I226" s="92">
        <f t="shared" si="32"/>
        <v>218</v>
      </c>
      <c r="L226" s="9">
        <v>218</v>
      </c>
      <c r="M226" s="9" t="s">
        <v>28</v>
      </c>
      <c r="N226" s="10">
        <f t="shared" si="37"/>
        <v>2107.09261628104</v>
      </c>
      <c r="O226" s="10">
        <f t="shared" si="38"/>
        <v>98.48396791306902</v>
      </c>
      <c r="P226" s="10">
        <f t="shared" si="39"/>
        <v>2008.608648367971</v>
      </c>
      <c r="Q226" s="11">
        <f t="shared" si="40"/>
        <v>45263.69594990516</v>
      </c>
      <c r="S226" s="92">
        <f t="shared" si="33"/>
        <v>218</v>
      </c>
      <c r="V226" s="104"/>
    </row>
    <row r="227" spans="2:22" ht="12.75">
      <c r="B227" s="9">
        <v>219</v>
      </c>
      <c r="C227" s="9" t="s">
        <v>29</v>
      </c>
      <c r="D227" s="10">
        <f t="shared" si="34"/>
        <v>2107.09261628104</v>
      </c>
      <c r="E227" s="10">
        <f t="shared" si="35"/>
        <v>56.30823239085273</v>
      </c>
      <c r="F227" s="10">
        <f t="shared" si="36"/>
        <v>2050.784383890187</v>
      </c>
      <c r="G227" s="11">
        <f>G226-F227-H227</f>
        <v>24977.16716371912</v>
      </c>
      <c r="H227" s="9"/>
      <c r="I227" s="92">
        <f t="shared" si="32"/>
        <v>219</v>
      </c>
      <c r="L227" s="9">
        <v>219</v>
      </c>
      <c r="M227" s="9" t="s">
        <v>29</v>
      </c>
      <c r="N227" s="10">
        <f t="shared" si="37"/>
        <v>2107.09261628104</v>
      </c>
      <c r="O227" s="10">
        <f t="shared" si="38"/>
        <v>94.29936656230241</v>
      </c>
      <c r="P227" s="10">
        <f t="shared" si="39"/>
        <v>2012.7932497187378</v>
      </c>
      <c r="Q227" s="11">
        <f t="shared" si="40"/>
        <v>43250.90270018642</v>
      </c>
      <c r="S227" s="92">
        <f t="shared" si="33"/>
        <v>219</v>
      </c>
      <c r="V227" s="104"/>
    </row>
    <row r="228" spans="2:22" ht="12.75">
      <c r="B228" s="9">
        <v>220</v>
      </c>
      <c r="C228" s="9" t="s">
        <v>30</v>
      </c>
      <c r="D228" s="10">
        <f t="shared" si="34"/>
        <v>2107.09261628104</v>
      </c>
      <c r="E228" s="10">
        <f t="shared" si="35"/>
        <v>52.03576492441484</v>
      </c>
      <c r="F228" s="10">
        <f t="shared" si="36"/>
        <v>2055.0568513566254</v>
      </c>
      <c r="G228" s="11">
        <f>G227-F228-H228</f>
        <v>22922.110312362496</v>
      </c>
      <c r="H228" s="9"/>
      <c r="I228" s="92">
        <f t="shared" si="32"/>
        <v>220</v>
      </c>
      <c r="L228" s="9">
        <v>220</v>
      </c>
      <c r="M228" s="9" t="s">
        <v>30</v>
      </c>
      <c r="N228" s="10">
        <f t="shared" si="37"/>
        <v>2107.09261628104</v>
      </c>
      <c r="O228" s="10">
        <f t="shared" si="38"/>
        <v>90.10604729205505</v>
      </c>
      <c r="P228" s="10">
        <f t="shared" si="39"/>
        <v>2016.986568988985</v>
      </c>
      <c r="Q228" s="11">
        <f t="shared" si="40"/>
        <v>41233.91613119744</v>
      </c>
      <c r="S228" s="92">
        <f t="shared" si="33"/>
        <v>220</v>
      </c>
      <c r="V228" s="104"/>
    </row>
    <row r="229" spans="2:22" ht="12.75">
      <c r="B229" s="9">
        <v>221</v>
      </c>
      <c r="C229" s="9" t="s">
        <v>31</v>
      </c>
      <c r="D229" s="10">
        <f t="shared" si="34"/>
        <v>2107.09261628104</v>
      </c>
      <c r="E229" s="10">
        <f t="shared" si="35"/>
        <v>47.75439648408854</v>
      </c>
      <c r="F229" s="10">
        <f t="shared" si="36"/>
        <v>2059.3382197969518</v>
      </c>
      <c r="G229" s="11">
        <f t="shared" si="41"/>
        <v>20862.772092565545</v>
      </c>
      <c r="H229" s="9"/>
      <c r="I229" s="92">
        <f t="shared" si="32"/>
        <v>221</v>
      </c>
      <c r="L229" s="9">
        <v>221</v>
      </c>
      <c r="M229" s="9" t="s">
        <v>31</v>
      </c>
      <c r="N229" s="10">
        <f t="shared" si="37"/>
        <v>2107.09261628104</v>
      </c>
      <c r="O229" s="10">
        <f t="shared" si="38"/>
        <v>85.90399193999467</v>
      </c>
      <c r="P229" s="10">
        <f t="shared" si="39"/>
        <v>2021.1886243410454</v>
      </c>
      <c r="Q229" s="11">
        <f t="shared" si="40"/>
        <v>39212.72750685639</v>
      </c>
      <c r="S229" s="92">
        <f t="shared" si="33"/>
        <v>221</v>
      </c>
      <c r="V229" s="104"/>
    </row>
    <row r="230" spans="2:22" ht="12.75">
      <c r="B230" s="9">
        <v>222</v>
      </c>
      <c r="C230" s="9" t="s">
        <v>32</v>
      </c>
      <c r="D230" s="10">
        <f t="shared" si="34"/>
        <v>2107.09261628104</v>
      </c>
      <c r="E230" s="10">
        <f t="shared" si="35"/>
        <v>43.464108526178215</v>
      </c>
      <c r="F230" s="10">
        <f t="shared" si="36"/>
        <v>2063.628507754862</v>
      </c>
      <c r="G230" s="11">
        <f t="shared" si="41"/>
        <v>18799.143584810685</v>
      </c>
      <c r="H230" s="9"/>
      <c r="I230" s="92">
        <f t="shared" si="32"/>
        <v>222</v>
      </c>
      <c r="L230" s="9">
        <v>222</v>
      </c>
      <c r="M230" s="9" t="s">
        <v>32</v>
      </c>
      <c r="N230" s="10">
        <f t="shared" si="37"/>
        <v>2107.09261628104</v>
      </c>
      <c r="O230" s="10">
        <f t="shared" si="38"/>
        <v>81.69318230595081</v>
      </c>
      <c r="P230" s="10">
        <f t="shared" si="39"/>
        <v>2025.3994339750893</v>
      </c>
      <c r="Q230" s="11">
        <f t="shared" si="40"/>
        <v>37187.328072881304</v>
      </c>
      <c r="S230" s="92">
        <f t="shared" si="33"/>
        <v>222</v>
      </c>
      <c r="V230" s="104"/>
    </row>
    <row r="231" spans="2:22" ht="12.75">
      <c r="B231" s="9">
        <v>223</v>
      </c>
      <c r="C231" s="9" t="s">
        <v>33</v>
      </c>
      <c r="D231" s="10">
        <f t="shared" si="34"/>
        <v>2107.09261628104</v>
      </c>
      <c r="E231" s="10">
        <f t="shared" si="35"/>
        <v>39.16488246835559</v>
      </c>
      <c r="F231" s="10">
        <f t="shared" si="36"/>
        <v>2067.9277338126844</v>
      </c>
      <c r="G231" s="11">
        <f t="shared" si="41"/>
        <v>16731.215850998</v>
      </c>
      <c r="H231" s="9"/>
      <c r="I231" s="92">
        <f t="shared" si="32"/>
        <v>223</v>
      </c>
      <c r="L231" s="9">
        <v>223</v>
      </c>
      <c r="M231" s="9" t="s">
        <v>33</v>
      </c>
      <c r="N231" s="10">
        <f t="shared" si="37"/>
        <v>2107.09261628104</v>
      </c>
      <c r="O231" s="10">
        <f t="shared" si="38"/>
        <v>77.47360015183604</v>
      </c>
      <c r="P231" s="10">
        <f t="shared" si="39"/>
        <v>2029.619016129204</v>
      </c>
      <c r="Q231" s="11">
        <f t="shared" si="40"/>
        <v>35157.7090567521</v>
      </c>
      <c r="S231" s="92">
        <f t="shared" si="33"/>
        <v>223</v>
      </c>
      <c r="V231" s="104"/>
    </row>
    <row r="232" spans="2:22" ht="12.75">
      <c r="B232" s="9">
        <v>224</v>
      </c>
      <c r="C232" s="9" t="s">
        <v>34</v>
      </c>
      <c r="D232" s="10">
        <f t="shared" si="34"/>
        <v>2107.09261628104</v>
      </c>
      <c r="E232" s="10">
        <f t="shared" si="35"/>
        <v>34.856699689579166</v>
      </c>
      <c r="F232" s="10">
        <f t="shared" si="36"/>
        <v>2072.235916591461</v>
      </c>
      <c r="G232" s="11">
        <f t="shared" si="41"/>
        <v>14658.97993440654</v>
      </c>
      <c r="H232" s="9"/>
      <c r="I232" s="92">
        <f t="shared" si="32"/>
        <v>224</v>
      </c>
      <c r="L232" s="9">
        <v>224</v>
      </c>
      <c r="M232" s="9" t="s">
        <v>34</v>
      </c>
      <c r="N232" s="10">
        <f t="shared" si="37"/>
        <v>2107.09261628104</v>
      </c>
      <c r="O232" s="10">
        <f t="shared" si="38"/>
        <v>73.24522720156688</v>
      </c>
      <c r="P232" s="10">
        <f t="shared" si="39"/>
        <v>2033.8473890794733</v>
      </c>
      <c r="Q232" s="11">
        <f t="shared" si="40"/>
        <v>33123.86166767263</v>
      </c>
      <c r="S232" s="92">
        <f t="shared" si="33"/>
        <v>224</v>
      </c>
      <c r="V232" s="104"/>
    </row>
    <row r="233" spans="2:22" ht="12.75">
      <c r="B233" s="9">
        <v>225</v>
      </c>
      <c r="C233" s="9" t="s">
        <v>35</v>
      </c>
      <c r="D233" s="10">
        <f t="shared" si="34"/>
        <v>2107.09261628104</v>
      </c>
      <c r="E233" s="10">
        <f t="shared" si="35"/>
        <v>30.539541530013622</v>
      </c>
      <c r="F233" s="10">
        <f t="shared" si="36"/>
        <v>2076.5530747510265</v>
      </c>
      <c r="G233" s="11">
        <f t="shared" si="41"/>
        <v>12582.426859655512</v>
      </c>
      <c r="H233" s="9"/>
      <c r="I233" s="92">
        <f t="shared" si="32"/>
        <v>225</v>
      </c>
      <c r="L233" s="9">
        <v>225</v>
      </c>
      <c r="M233" s="9" t="s">
        <v>35</v>
      </c>
      <c r="N233" s="10">
        <f t="shared" si="37"/>
        <v>2107.09261628104</v>
      </c>
      <c r="O233" s="10">
        <f t="shared" si="38"/>
        <v>69.00804514098463</v>
      </c>
      <c r="P233" s="10">
        <f t="shared" si="39"/>
        <v>2038.0845711400555</v>
      </c>
      <c r="Q233" s="11">
        <f t="shared" si="40"/>
        <v>31085.777096532576</v>
      </c>
      <c r="S233" s="92">
        <f t="shared" si="33"/>
        <v>225</v>
      </c>
      <c r="V233" s="104"/>
    </row>
    <row r="234" spans="2:22" ht="12.75">
      <c r="B234" s="9">
        <v>226</v>
      </c>
      <c r="C234" s="9" t="s">
        <v>36</v>
      </c>
      <c r="D234" s="10">
        <f t="shared" si="34"/>
        <v>2107.09261628104</v>
      </c>
      <c r="E234" s="10">
        <f t="shared" si="35"/>
        <v>26.21338929094898</v>
      </c>
      <c r="F234" s="10">
        <f t="shared" si="36"/>
        <v>2080.879226990091</v>
      </c>
      <c r="G234" s="11">
        <f t="shared" si="41"/>
        <v>10501.54763266542</v>
      </c>
      <c r="H234" s="9"/>
      <c r="I234" s="92">
        <f t="shared" si="32"/>
        <v>226</v>
      </c>
      <c r="L234" s="9">
        <v>226</v>
      </c>
      <c r="M234" s="9" t="s">
        <v>36</v>
      </c>
      <c r="N234" s="10">
        <f t="shared" si="37"/>
        <v>2107.09261628104</v>
      </c>
      <c r="O234" s="10">
        <f t="shared" si="38"/>
        <v>64.76203561777619</v>
      </c>
      <c r="P234" s="10">
        <f t="shared" si="39"/>
        <v>2042.3305806632638</v>
      </c>
      <c r="Q234" s="11">
        <f t="shared" si="40"/>
        <v>29043.446515869313</v>
      </c>
      <c r="S234" s="92">
        <f t="shared" si="33"/>
        <v>226</v>
      </c>
      <c r="V234" s="104"/>
    </row>
    <row r="235" spans="2:22" ht="12.75">
      <c r="B235" s="9">
        <v>227</v>
      </c>
      <c r="C235" s="9" t="s">
        <v>37</v>
      </c>
      <c r="D235" s="10">
        <f t="shared" si="34"/>
        <v>2107.09261628104</v>
      </c>
      <c r="E235" s="10">
        <f t="shared" si="35"/>
        <v>21.878224234719625</v>
      </c>
      <c r="F235" s="10">
        <f t="shared" si="36"/>
        <v>2085.2143920463204</v>
      </c>
      <c r="G235" s="11">
        <f t="shared" si="41"/>
        <v>8416.3332406191</v>
      </c>
      <c r="H235" s="9"/>
      <c r="I235" s="92">
        <f t="shared" si="32"/>
        <v>227</v>
      </c>
      <c r="L235" s="9">
        <v>227</v>
      </c>
      <c r="M235" s="9" t="s">
        <v>37</v>
      </c>
      <c r="N235" s="10">
        <f t="shared" si="37"/>
        <v>2107.09261628104</v>
      </c>
      <c r="O235" s="10">
        <f t="shared" si="38"/>
        <v>60.507180241394394</v>
      </c>
      <c r="P235" s="10">
        <f t="shared" si="39"/>
        <v>2046.5854360396456</v>
      </c>
      <c r="Q235" s="11">
        <f t="shared" si="40"/>
        <v>26996.86107982967</v>
      </c>
      <c r="S235" s="92">
        <f t="shared" si="33"/>
        <v>227</v>
      </c>
      <c r="V235" s="104"/>
    </row>
    <row r="236" spans="2:22" ht="12.75">
      <c r="B236" s="9">
        <v>228</v>
      </c>
      <c r="C236" s="9" t="s">
        <v>38</v>
      </c>
      <c r="D236" s="10">
        <f t="shared" si="34"/>
        <v>2107.09261628104</v>
      </c>
      <c r="E236" s="10">
        <f t="shared" si="35"/>
        <v>17.534027584623125</v>
      </c>
      <c r="F236" s="10">
        <f t="shared" si="36"/>
        <v>2089.558588696417</v>
      </c>
      <c r="G236" s="11">
        <f t="shared" si="41"/>
        <v>6326.774651922684</v>
      </c>
      <c r="H236" s="9"/>
      <c r="I236" s="92">
        <f t="shared" si="32"/>
        <v>228</v>
      </c>
      <c r="L236" s="9">
        <v>228</v>
      </c>
      <c r="M236" s="9" t="s">
        <v>38</v>
      </c>
      <c r="N236" s="10">
        <f t="shared" si="37"/>
        <v>2107.09261628104</v>
      </c>
      <c r="O236" s="10">
        <f t="shared" si="38"/>
        <v>56.24346058297848</v>
      </c>
      <c r="P236" s="10">
        <f t="shared" si="39"/>
        <v>2050.8491556980616</v>
      </c>
      <c r="Q236" s="11">
        <f t="shared" si="40"/>
        <v>24946.011924131606</v>
      </c>
      <c r="S236" s="92">
        <f t="shared" si="33"/>
        <v>228</v>
      </c>
      <c r="V236" s="104"/>
    </row>
    <row r="237" spans="2:22" ht="12.75">
      <c r="B237" s="84">
        <v>229</v>
      </c>
      <c r="C237" s="84" t="s">
        <v>27</v>
      </c>
      <c r="D237" s="85">
        <f t="shared" si="34"/>
        <v>2107.09261628104</v>
      </c>
      <c r="E237" s="85">
        <f t="shared" si="35"/>
        <v>13.180780524838925</v>
      </c>
      <c r="F237" s="85">
        <f t="shared" si="36"/>
        <v>2093.911835756201</v>
      </c>
      <c r="G237" s="86">
        <f t="shared" si="41"/>
        <v>2911.4413353694044</v>
      </c>
      <c r="H237" s="68">
        <f>IF((G236-F237)&gt;Energie!S28,Energie!S28,(G236-F237))</f>
        <v>1321.4214807970786</v>
      </c>
      <c r="I237" s="92">
        <f aca="true" t="shared" si="42" ref="I237:I300">IF(E237&gt;0,B237,"")</f>
        <v>229</v>
      </c>
      <c r="K237">
        <v>19</v>
      </c>
      <c r="L237" s="84">
        <v>229</v>
      </c>
      <c r="M237" s="84" t="s">
        <v>27</v>
      </c>
      <c r="N237" s="85">
        <f t="shared" si="37"/>
        <v>2107.09261628104</v>
      </c>
      <c r="O237" s="85">
        <f t="shared" si="38"/>
        <v>51.970858175274174</v>
      </c>
      <c r="P237" s="85">
        <f t="shared" si="39"/>
        <v>2055.121758105766</v>
      </c>
      <c r="Q237" s="86">
        <f t="shared" si="40"/>
        <v>22890.89016602584</v>
      </c>
      <c r="S237" s="92">
        <f t="shared" si="33"/>
        <v>229</v>
      </c>
      <c r="T237" s="128">
        <f>SUM(N225:N236)</f>
        <v>25285.111395372474</v>
      </c>
      <c r="U237" s="128">
        <f>(SUM(N225:N236)+U225)</f>
        <v>480417.11651207716</v>
      </c>
      <c r="V237" s="104"/>
    </row>
    <row r="238" spans="2:22" ht="12.75">
      <c r="B238" s="9">
        <v>230</v>
      </c>
      <c r="C238" s="9" t="s">
        <v>28</v>
      </c>
      <c r="D238" s="10">
        <f t="shared" si="34"/>
        <v>2107.09261628104</v>
      </c>
      <c r="E238" s="10">
        <f t="shared" si="35"/>
        <v>6.065502782019593</v>
      </c>
      <c r="F238" s="10">
        <f t="shared" si="36"/>
        <v>2101.0271134990207</v>
      </c>
      <c r="G238" s="11">
        <f t="shared" si="41"/>
        <v>810.4142218703837</v>
      </c>
      <c r="H238" s="9"/>
      <c r="I238" s="92">
        <f t="shared" si="42"/>
        <v>230</v>
      </c>
      <c r="L238" s="9">
        <v>230</v>
      </c>
      <c r="M238" s="9" t="s">
        <v>28</v>
      </c>
      <c r="N238" s="10">
        <f t="shared" si="37"/>
        <v>2107.09261628104</v>
      </c>
      <c r="O238" s="10">
        <f t="shared" si="38"/>
        <v>47.68935451255384</v>
      </c>
      <c r="P238" s="10">
        <f t="shared" si="39"/>
        <v>2059.403261768486</v>
      </c>
      <c r="Q238" s="11">
        <f t="shared" si="40"/>
        <v>20831.486904257355</v>
      </c>
      <c r="S238" s="92">
        <f t="shared" si="33"/>
        <v>230</v>
      </c>
      <c r="V238" s="104"/>
    </row>
    <row r="239" spans="2:22" ht="12.75">
      <c r="B239" s="9">
        <v>231</v>
      </c>
      <c r="C239" s="9" t="s">
        <v>29</v>
      </c>
      <c r="D239" s="10">
        <f t="shared" si="34"/>
        <v>812.1025848326136</v>
      </c>
      <c r="E239" s="10">
        <f t="shared" si="35"/>
        <v>1.6883629622299658</v>
      </c>
      <c r="F239" s="10">
        <f t="shared" si="36"/>
        <v>810.4142218703837</v>
      </c>
      <c r="G239" s="11">
        <f t="shared" si="41"/>
        <v>0</v>
      </c>
      <c r="H239" s="9"/>
      <c r="I239" s="92">
        <f t="shared" si="42"/>
        <v>231</v>
      </c>
      <c r="L239" s="9">
        <v>231</v>
      </c>
      <c r="M239" s="9" t="s">
        <v>29</v>
      </c>
      <c r="N239" s="10">
        <f t="shared" si="37"/>
        <v>2107.09261628104</v>
      </c>
      <c r="O239" s="10">
        <f t="shared" si="38"/>
        <v>43.398931050536156</v>
      </c>
      <c r="P239" s="10">
        <f t="shared" si="39"/>
        <v>2063.693685230504</v>
      </c>
      <c r="Q239" s="11">
        <f t="shared" si="40"/>
        <v>18767.79321902685</v>
      </c>
      <c r="S239" s="92">
        <f t="shared" si="33"/>
        <v>231</v>
      </c>
      <c r="V239" s="104"/>
    </row>
    <row r="240" spans="2:22" ht="12.75">
      <c r="B240" s="9">
        <v>232</v>
      </c>
      <c r="C240" s="9" t="s">
        <v>30</v>
      </c>
      <c r="D240" s="10">
        <f t="shared" si="34"/>
        <v>0</v>
      </c>
      <c r="E240" s="10">
        <f t="shared" si="35"/>
        <v>0</v>
      </c>
      <c r="F240" s="10">
        <f t="shared" si="36"/>
        <v>0</v>
      </c>
      <c r="G240" s="11">
        <f t="shared" si="41"/>
        <v>0</v>
      </c>
      <c r="H240" s="9"/>
      <c r="I240" s="92">
        <f t="shared" si="42"/>
      </c>
      <c r="L240" s="9">
        <v>232</v>
      </c>
      <c r="M240" s="9" t="s">
        <v>30</v>
      </c>
      <c r="N240" s="10">
        <f t="shared" si="37"/>
        <v>2107.09261628104</v>
      </c>
      <c r="O240" s="10">
        <f t="shared" si="38"/>
        <v>39.09956920630594</v>
      </c>
      <c r="P240" s="10">
        <f t="shared" si="39"/>
        <v>2067.993047074734</v>
      </c>
      <c r="Q240" s="11">
        <f t="shared" si="40"/>
        <v>16699.800171952116</v>
      </c>
      <c r="S240" s="92">
        <f t="shared" si="33"/>
        <v>232</v>
      </c>
      <c r="V240" s="104"/>
    </row>
    <row r="241" spans="2:22" ht="12.75">
      <c r="B241" s="9">
        <v>233</v>
      </c>
      <c r="C241" s="9" t="s">
        <v>31</v>
      </c>
      <c r="D241" s="10">
        <f t="shared" si="34"/>
        <v>0</v>
      </c>
      <c r="E241" s="10">
        <f t="shared" si="35"/>
        <v>0</v>
      </c>
      <c r="F241" s="10">
        <f t="shared" si="36"/>
        <v>0</v>
      </c>
      <c r="G241" s="11">
        <f t="shared" si="41"/>
        <v>0</v>
      </c>
      <c r="H241" s="9"/>
      <c r="I241" s="92">
        <f t="shared" si="42"/>
      </c>
      <c r="L241" s="9">
        <v>233</v>
      </c>
      <c r="M241" s="9" t="s">
        <v>31</v>
      </c>
      <c r="N241" s="10">
        <f t="shared" si="37"/>
        <v>2107.09261628104</v>
      </c>
      <c r="O241" s="10">
        <f t="shared" si="38"/>
        <v>34.791250358233576</v>
      </c>
      <c r="P241" s="10">
        <f t="shared" si="39"/>
        <v>2072.301365922807</v>
      </c>
      <c r="Q241" s="11">
        <f t="shared" si="40"/>
        <v>14627.498806029309</v>
      </c>
      <c r="S241" s="92">
        <f t="shared" si="33"/>
        <v>233</v>
      </c>
      <c r="V241" s="104"/>
    </row>
    <row r="242" spans="2:22" ht="12.75">
      <c r="B242" s="9">
        <v>234</v>
      </c>
      <c r="C242" s="9" t="s">
        <v>32</v>
      </c>
      <c r="D242" s="10">
        <f t="shared" si="34"/>
        <v>0</v>
      </c>
      <c r="E242" s="10">
        <f t="shared" si="35"/>
        <v>0</v>
      </c>
      <c r="F242" s="10">
        <f t="shared" si="36"/>
        <v>0</v>
      </c>
      <c r="G242" s="11">
        <f t="shared" si="41"/>
        <v>0</v>
      </c>
      <c r="H242" s="9"/>
      <c r="I242" s="92">
        <f t="shared" si="42"/>
      </c>
      <c r="L242" s="9">
        <v>234</v>
      </c>
      <c r="M242" s="9" t="s">
        <v>32</v>
      </c>
      <c r="N242" s="10">
        <f t="shared" si="37"/>
        <v>2107.09261628104</v>
      </c>
      <c r="O242" s="10">
        <f t="shared" si="38"/>
        <v>30.47395584589439</v>
      </c>
      <c r="P242" s="10">
        <f t="shared" si="39"/>
        <v>2076.6186604351456</v>
      </c>
      <c r="Q242" s="11">
        <f t="shared" si="40"/>
        <v>12550.880145594163</v>
      </c>
      <c r="S242" s="92">
        <f t="shared" si="33"/>
        <v>234</v>
      </c>
      <c r="V242" s="104"/>
    </row>
    <row r="243" spans="2:22" ht="12.75">
      <c r="B243" s="9">
        <v>235</v>
      </c>
      <c r="C243" s="9" t="s">
        <v>33</v>
      </c>
      <c r="D243" s="10">
        <f t="shared" si="34"/>
        <v>0</v>
      </c>
      <c r="E243" s="10">
        <f t="shared" si="35"/>
        <v>0</v>
      </c>
      <c r="F243" s="10">
        <f t="shared" si="36"/>
        <v>0</v>
      </c>
      <c r="G243" s="11">
        <f t="shared" si="41"/>
        <v>0</v>
      </c>
      <c r="H243" s="9"/>
      <c r="I243" s="92">
        <f t="shared" si="42"/>
      </c>
      <c r="L243" s="9">
        <v>235</v>
      </c>
      <c r="M243" s="9" t="s">
        <v>33</v>
      </c>
      <c r="N243" s="10">
        <f t="shared" si="37"/>
        <v>2107.09261628104</v>
      </c>
      <c r="O243" s="10">
        <f t="shared" si="38"/>
        <v>26.147666969987842</v>
      </c>
      <c r="P243" s="10">
        <f t="shared" si="39"/>
        <v>2080.9449493110524</v>
      </c>
      <c r="Q243" s="11">
        <f t="shared" si="40"/>
        <v>10469.93519628311</v>
      </c>
      <c r="S243" s="92">
        <f t="shared" si="33"/>
        <v>235</v>
      </c>
      <c r="V243" s="104"/>
    </row>
    <row r="244" spans="2:22" ht="12.75">
      <c r="B244" s="9">
        <v>236</v>
      </c>
      <c r="C244" s="9" t="s">
        <v>34</v>
      </c>
      <c r="D244" s="10">
        <f t="shared" si="34"/>
        <v>0</v>
      </c>
      <c r="E244" s="10">
        <f t="shared" si="35"/>
        <v>0</v>
      </c>
      <c r="F244" s="10">
        <f t="shared" si="36"/>
        <v>0</v>
      </c>
      <c r="G244" s="11">
        <f t="shared" si="41"/>
        <v>0</v>
      </c>
      <c r="H244" s="9"/>
      <c r="I244" s="92">
        <f t="shared" si="42"/>
      </c>
      <c r="L244" s="9">
        <v>236</v>
      </c>
      <c r="M244" s="9" t="s">
        <v>34</v>
      </c>
      <c r="N244" s="10">
        <f t="shared" si="37"/>
        <v>2107.09261628104</v>
      </c>
      <c r="O244" s="10">
        <f t="shared" si="38"/>
        <v>21.81236499225648</v>
      </c>
      <c r="P244" s="10">
        <f t="shared" si="39"/>
        <v>2085.280251288784</v>
      </c>
      <c r="Q244" s="11">
        <f t="shared" si="40"/>
        <v>8384.654944994327</v>
      </c>
      <c r="S244" s="92">
        <f t="shared" si="33"/>
        <v>236</v>
      </c>
      <c r="V244" s="104"/>
    </row>
    <row r="245" spans="2:22" ht="12.75">
      <c r="B245" s="9">
        <v>237</v>
      </c>
      <c r="C245" s="9" t="s">
        <v>35</v>
      </c>
      <c r="D245" s="10">
        <f t="shared" si="34"/>
        <v>0</v>
      </c>
      <c r="E245" s="10">
        <f t="shared" si="35"/>
        <v>0</v>
      </c>
      <c r="F245" s="10">
        <f t="shared" si="36"/>
        <v>0</v>
      </c>
      <c r="G245" s="11">
        <f t="shared" si="41"/>
        <v>0</v>
      </c>
      <c r="H245" s="9"/>
      <c r="I245" s="92">
        <f t="shared" si="42"/>
      </c>
      <c r="L245" s="9">
        <v>237</v>
      </c>
      <c r="M245" s="9" t="s">
        <v>35</v>
      </c>
      <c r="N245" s="10">
        <f t="shared" si="37"/>
        <v>2107.09261628104</v>
      </c>
      <c r="O245" s="10">
        <f t="shared" si="38"/>
        <v>17.468031135404846</v>
      </c>
      <c r="P245" s="10">
        <f t="shared" si="39"/>
        <v>2089.624585145635</v>
      </c>
      <c r="Q245" s="11">
        <f t="shared" si="40"/>
        <v>6295.030359848692</v>
      </c>
      <c r="S245" s="92">
        <f t="shared" si="33"/>
        <v>237</v>
      </c>
      <c r="V245" s="104"/>
    </row>
    <row r="246" spans="2:22" ht="12.75">
      <c r="B246" s="9">
        <v>238</v>
      </c>
      <c r="C246" s="9" t="s">
        <v>36</v>
      </c>
      <c r="D246" s="10">
        <f t="shared" si="34"/>
        <v>0</v>
      </c>
      <c r="E246" s="10">
        <f t="shared" si="35"/>
        <v>0</v>
      </c>
      <c r="F246" s="10">
        <f t="shared" si="36"/>
        <v>0</v>
      </c>
      <c r="G246" s="11">
        <f t="shared" si="41"/>
        <v>0</v>
      </c>
      <c r="H246" s="9"/>
      <c r="I246" s="92">
        <f t="shared" si="42"/>
      </c>
      <c r="L246" s="9">
        <v>238</v>
      </c>
      <c r="M246" s="9" t="s">
        <v>36</v>
      </c>
      <c r="N246" s="10">
        <f t="shared" si="37"/>
        <v>2107.09261628104</v>
      </c>
      <c r="O246" s="10">
        <f t="shared" si="38"/>
        <v>13.114646583018107</v>
      </c>
      <c r="P246" s="10">
        <f t="shared" si="39"/>
        <v>2093.977969698022</v>
      </c>
      <c r="Q246" s="11">
        <f t="shared" si="40"/>
        <v>4201.052390150669</v>
      </c>
      <c r="S246" s="92">
        <f t="shared" si="33"/>
        <v>238</v>
      </c>
      <c r="V246" s="104"/>
    </row>
    <row r="247" spans="2:22" ht="12.75">
      <c r="B247" s="9">
        <v>239</v>
      </c>
      <c r="C247" s="9" t="s">
        <v>37</v>
      </c>
      <c r="D247" s="10">
        <f t="shared" si="34"/>
        <v>0</v>
      </c>
      <c r="E247" s="10">
        <f t="shared" si="35"/>
        <v>0</v>
      </c>
      <c r="F247" s="10">
        <f t="shared" si="36"/>
        <v>0</v>
      </c>
      <c r="G247" s="11">
        <f t="shared" si="41"/>
        <v>0</v>
      </c>
      <c r="H247" s="9"/>
      <c r="I247" s="92">
        <f t="shared" si="42"/>
      </c>
      <c r="L247" s="9">
        <v>239</v>
      </c>
      <c r="M247" s="9" t="s">
        <v>37</v>
      </c>
      <c r="N247" s="10">
        <f t="shared" si="37"/>
        <v>2107.09261628104</v>
      </c>
      <c r="O247" s="10">
        <f t="shared" si="38"/>
        <v>8.752192479480561</v>
      </c>
      <c r="P247" s="10">
        <f t="shared" si="39"/>
        <v>2098.3404238015596</v>
      </c>
      <c r="Q247" s="11">
        <f t="shared" si="40"/>
        <v>2102.71196634911</v>
      </c>
      <c r="S247" s="92">
        <f t="shared" si="33"/>
        <v>239</v>
      </c>
      <c r="V247" s="104"/>
    </row>
    <row r="248" spans="2:22" ht="12.75">
      <c r="B248" s="9">
        <v>240</v>
      </c>
      <c r="C248" s="9" t="s">
        <v>38</v>
      </c>
      <c r="D248" s="10">
        <f t="shared" si="34"/>
        <v>0</v>
      </c>
      <c r="E248" s="10">
        <f t="shared" si="35"/>
        <v>0</v>
      </c>
      <c r="F248" s="10">
        <f t="shared" si="36"/>
        <v>0</v>
      </c>
      <c r="G248" s="11">
        <f t="shared" si="41"/>
        <v>0</v>
      </c>
      <c r="H248" s="9"/>
      <c r="I248" s="92">
        <f t="shared" si="42"/>
      </c>
      <c r="L248" s="9">
        <v>240</v>
      </c>
      <c r="M248" s="9" t="s">
        <v>38</v>
      </c>
      <c r="N248" s="10">
        <f t="shared" si="37"/>
        <v>2107.092616279004</v>
      </c>
      <c r="O248" s="10">
        <f t="shared" si="38"/>
        <v>4.38064992989398</v>
      </c>
      <c r="P248" s="10">
        <f t="shared" si="39"/>
        <v>2102.71196634911</v>
      </c>
      <c r="Q248" s="11">
        <f t="shared" si="40"/>
        <v>0</v>
      </c>
      <c r="S248" s="92">
        <f t="shared" si="33"/>
        <v>240</v>
      </c>
      <c r="V248" s="104"/>
    </row>
    <row r="249" spans="2:22" ht="12.75">
      <c r="B249" s="84">
        <v>241</v>
      </c>
      <c r="C249" s="84" t="s">
        <v>27</v>
      </c>
      <c r="D249" s="85">
        <f t="shared" si="34"/>
        <v>0</v>
      </c>
      <c r="E249" s="85">
        <f t="shared" si="35"/>
        <v>0</v>
      </c>
      <c r="F249" s="85">
        <f t="shared" si="36"/>
        <v>0</v>
      </c>
      <c r="G249" s="86">
        <f t="shared" si="41"/>
        <v>0</v>
      </c>
      <c r="H249" s="68">
        <f>IF((G248-F249)&gt;Energie!S29,Energie!S29,(G248-F249))</f>
        <v>0</v>
      </c>
      <c r="I249" s="92">
        <f t="shared" si="42"/>
      </c>
      <c r="K249">
        <v>20</v>
      </c>
      <c r="L249" s="84">
        <v>241</v>
      </c>
      <c r="M249" s="84" t="s">
        <v>27</v>
      </c>
      <c r="N249" s="85">
        <f t="shared" si="37"/>
        <v>0</v>
      </c>
      <c r="O249" s="85">
        <f t="shared" si="38"/>
        <v>0</v>
      </c>
      <c r="P249" s="85">
        <f t="shared" si="39"/>
        <v>0</v>
      </c>
      <c r="Q249" s="86">
        <f t="shared" si="40"/>
        <v>0</v>
      </c>
      <c r="S249" s="92">
        <f t="shared" si="33"/>
      </c>
      <c r="T249" s="128">
        <f>SUM(N237:N248)</f>
        <v>25285.11139537044</v>
      </c>
      <c r="U249" s="128">
        <f>(SUM(N237:N248)+U237)</f>
        <v>505702.2279074476</v>
      </c>
      <c r="V249" s="104"/>
    </row>
    <row r="250" spans="2:22" ht="12.75">
      <c r="B250" s="9">
        <v>242</v>
      </c>
      <c r="C250" s="9" t="s">
        <v>28</v>
      </c>
      <c r="D250" s="10">
        <f t="shared" si="34"/>
        <v>0</v>
      </c>
      <c r="E250" s="10">
        <f t="shared" si="35"/>
        <v>0</v>
      </c>
      <c r="F250" s="10">
        <f t="shared" si="36"/>
        <v>0</v>
      </c>
      <c r="G250" s="11">
        <f t="shared" si="41"/>
        <v>0</v>
      </c>
      <c r="H250" s="9"/>
      <c r="I250" s="92">
        <f t="shared" si="42"/>
      </c>
      <c r="L250" s="9">
        <v>242</v>
      </c>
      <c r="M250" s="9" t="s">
        <v>28</v>
      </c>
      <c r="N250" s="10">
        <f t="shared" si="37"/>
        <v>0</v>
      </c>
      <c r="O250" s="10">
        <f t="shared" si="38"/>
        <v>0</v>
      </c>
      <c r="P250" s="10">
        <f t="shared" si="39"/>
        <v>0</v>
      </c>
      <c r="Q250" s="11">
        <f t="shared" si="40"/>
        <v>0</v>
      </c>
      <c r="S250" s="92">
        <f t="shared" si="33"/>
      </c>
      <c r="V250" s="104"/>
    </row>
    <row r="251" spans="2:22" ht="12.75">
      <c r="B251" s="9">
        <v>243</v>
      </c>
      <c r="C251" s="9" t="s">
        <v>29</v>
      </c>
      <c r="D251" s="10">
        <f t="shared" si="34"/>
        <v>0</v>
      </c>
      <c r="E251" s="10">
        <f t="shared" si="35"/>
        <v>0</v>
      </c>
      <c r="F251" s="10">
        <f t="shared" si="36"/>
        <v>0</v>
      </c>
      <c r="G251" s="11">
        <f t="shared" si="41"/>
        <v>0</v>
      </c>
      <c r="H251" s="9"/>
      <c r="I251" s="92">
        <f t="shared" si="42"/>
      </c>
      <c r="L251" s="9">
        <v>243</v>
      </c>
      <c r="M251" s="9" t="s">
        <v>29</v>
      </c>
      <c r="N251" s="10">
        <f t="shared" si="37"/>
        <v>0</v>
      </c>
      <c r="O251" s="10">
        <f t="shared" si="38"/>
        <v>0</v>
      </c>
      <c r="P251" s="10">
        <f t="shared" si="39"/>
        <v>0</v>
      </c>
      <c r="Q251" s="11">
        <f t="shared" si="40"/>
        <v>0</v>
      </c>
      <c r="S251" s="92">
        <f t="shared" si="33"/>
      </c>
      <c r="V251" s="104"/>
    </row>
    <row r="252" spans="2:22" ht="12.75">
      <c r="B252" s="9">
        <v>244</v>
      </c>
      <c r="C252" s="9" t="s">
        <v>30</v>
      </c>
      <c r="D252" s="10">
        <f t="shared" si="34"/>
        <v>0</v>
      </c>
      <c r="E252" s="10">
        <f t="shared" si="35"/>
        <v>0</v>
      </c>
      <c r="F252" s="10">
        <f t="shared" si="36"/>
        <v>0</v>
      </c>
      <c r="G252" s="11">
        <f t="shared" si="41"/>
        <v>0</v>
      </c>
      <c r="H252" s="9"/>
      <c r="I252" s="92">
        <f t="shared" si="42"/>
      </c>
      <c r="L252" s="9">
        <v>244</v>
      </c>
      <c r="M252" s="9" t="s">
        <v>30</v>
      </c>
      <c r="N252" s="10">
        <f t="shared" si="37"/>
        <v>0</v>
      </c>
      <c r="O252" s="10">
        <f t="shared" si="38"/>
        <v>0</v>
      </c>
      <c r="P252" s="10">
        <f t="shared" si="39"/>
        <v>0</v>
      </c>
      <c r="Q252" s="11">
        <f t="shared" si="40"/>
        <v>0</v>
      </c>
      <c r="S252" s="92">
        <f t="shared" si="33"/>
      </c>
      <c r="V252" s="104"/>
    </row>
    <row r="253" spans="2:22" ht="12.75">
      <c r="B253" s="9">
        <v>245</v>
      </c>
      <c r="C253" s="9" t="s">
        <v>31</v>
      </c>
      <c r="D253" s="10">
        <f t="shared" si="34"/>
        <v>0</v>
      </c>
      <c r="E253" s="10">
        <f t="shared" si="35"/>
        <v>0</v>
      </c>
      <c r="F253" s="10">
        <f t="shared" si="36"/>
        <v>0</v>
      </c>
      <c r="G253" s="11">
        <f t="shared" si="41"/>
        <v>0</v>
      </c>
      <c r="H253" s="9"/>
      <c r="I253" s="92">
        <f t="shared" si="42"/>
      </c>
      <c r="L253" s="9">
        <v>245</v>
      </c>
      <c r="M253" s="9" t="s">
        <v>31</v>
      </c>
      <c r="N253" s="10">
        <f t="shared" si="37"/>
        <v>0</v>
      </c>
      <c r="O253" s="10">
        <f t="shared" si="38"/>
        <v>0</v>
      </c>
      <c r="P253" s="10">
        <f t="shared" si="39"/>
        <v>0</v>
      </c>
      <c r="Q253" s="11">
        <f t="shared" si="40"/>
        <v>0</v>
      </c>
      <c r="S253" s="92">
        <f t="shared" si="33"/>
      </c>
      <c r="V253" s="104"/>
    </row>
    <row r="254" spans="2:22" ht="12.75">
      <c r="B254" s="9">
        <v>246</v>
      </c>
      <c r="C254" s="9" t="s">
        <v>32</v>
      </c>
      <c r="D254" s="10">
        <f t="shared" si="34"/>
        <v>0</v>
      </c>
      <c r="E254" s="10">
        <f t="shared" si="35"/>
        <v>0</v>
      </c>
      <c r="F254" s="10">
        <f t="shared" si="36"/>
        <v>0</v>
      </c>
      <c r="G254" s="11">
        <f t="shared" si="41"/>
        <v>0</v>
      </c>
      <c r="H254" s="9"/>
      <c r="I254" s="92">
        <f t="shared" si="42"/>
      </c>
      <c r="L254" s="9">
        <v>246</v>
      </c>
      <c r="M254" s="9" t="s">
        <v>32</v>
      </c>
      <c r="N254" s="10">
        <f t="shared" si="37"/>
        <v>0</v>
      </c>
      <c r="O254" s="10">
        <f t="shared" si="38"/>
        <v>0</v>
      </c>
      <c r="P254" s="10">
        <f t="shared" si="39"/>
        <v>0</v>
      </c>
      <c r="Q254" s="11">
        <f t="shared" si="40"/>
        <v>0</v>
      </c>
      <c r="S254" s="92">
        <f t="shared" si="33"/>
      </c>
      <c r="V254" s="104"/>
    </row>
    <row r="255" spans="2:22" ht="12.75">
      <c r="B255" s="9">
        <v>247</v>
      </c>
      <c r="C255" s="9" t="s">
        <v>33</v>
      </c>
      <c r="D255" s="10">
        <f t="shared" si="34"/>
        <v>0</v>
      </c>
      <c r="E255" s="10">
        <f t="shared" si="35"/>
        <v>0</v>
      </c>
      <c r="F255" s="10">
        <f t="shared" si="36"/>
        <v>0</v>
      </c>
      <c r="G255" s="11">
        <f t="shared" si="41"/>
        <v>0</v>
      </c>
      <c r="H255" s="9"/>
      <c r="I255" s="92">
        <f t="shared" si="42"/>
      </c>
      <c r="L255" s="9">
        <v>247</v>
      </c>
      <c r="M255" s="9" t="s">
        <v>33</v>
      </c>
      <c r="N255" s="10">
        <f t="shared" si="37"/>
        <v>0</v>
      </c>
      <c r="O255" s="10">
        <f t="shared" si="38"/>
        <v>0</v>
      </c>
      <c r="P255" s="10">
        <f t="shared" si="39"/>
        <v>0</v>
      </c>
      <c r="Q255" s="11">
        <f t="shared" si="40"/>
        <v>0</v>
      </c>
      <c r="S255" s="92">
        <f t="shared" si="33"/>
      </c>
      <c r="V255" s="104"/>
    </row>
    <row r="256" spans="2:22" ht="12.75">
      <c r="B256" s="9">
        <v>248</v>
      </c>
      <c r="C256" s="9" t="s">
        <v>34</v>
      </c>
      <c r="D256" s="10">
        <f t="shared" si="34"/>
        <v>0</v>
      </c>
      <c r="E256" s="10">
        <f t="shared" si="35"/>
        <v>0</v>
      </c>
      <c r="F256" s="10">
        <f t="shared" si="36"/>
        <v>0</v>
      </c>
      <c r="G256" s="11">
        <f t="shared" si="41"/>
        <v>0</v>
      </c>
      <c r="H256" s="9"/>
      <c r="I256" s="92">
        <f t="shared" si="42"/>
      </c>
      <c r="L256" s="9">
        <v>248</v>
      </c>
      <c r="M256" s="9" t="s">
        <v>34</v>
      </c>
      <c r="N256" s="10">
        <f t="shared" si="37"/>
        <v>0</v>
      </c>
      <c r="O256" s="10">
        <f t="shared" si="38"/>
        <v>0</v>
      </c>
      <c r="P256" s="10">
        <f t="shared" si="39"/>
        <v>0</v>
      </c>
      <c r="Q256" s="11">
        <f t="shared" si="40"/>
        <v>0</v>
      </c>
      <c r="S256" s="92">
        <f t="shared" si="33"/>
      </c>
      <c r="V256" s="104"/>
    </row>
    <row r="257" spans="2:22" ht="12.75">
      <c r="B257" s="9">
        <v>249</v>
      </c>
      <c r="C257" s="9" t="s">
        <v>35</v>
      </c>
      <c r="D257" s="10">
        <f t="shared" si="34"/>
        <v>0</v>
      </c>
      <c r="E257" s="10">
        <f t="shared" si="35"/>
        <v>0</v>
      </c>
      <c r="F257" s="10">
        <f t="shared" si="36"/>
        <v>0</v>
      </c>
      <c r="G257" s="11">
        <f t="shared" si="41"/>
        <v>0</v>
      </c>
      <c r="H257" s="9"/>
      <c r="I257" s="92">
        <f t="shared" si="42"/>
      </c>
      <c r="L257" s="9">
        <v>249</v>
      </c>
      <c r="M257" s="9" t="s">
        <v>35</v>
      </c>
      <c r="N257" s="10">
        <f t="shared" si="37"/>
        <v>0</v>
      </c>
      <c r="O257" s="10">
        <f t="shared" si="38"/>
        <v>0</v>
      </c>
      <c r="P257" s="10">
        <f t="shared" si="39"/>
        <v>0</v>
      </c>
      <c r="Q257" s="11">
        <f t="shared" si="40"/>
        <v>0</v>
      </c>
      <c r="S257" s="92">
        <f t="shared" si="33"/>
      </c>
      <c r="V257" s="104"/>
    </row>
    <row r="258" spans="2:22" ht="12.75">
      <c r="B258" s="9">
        <v>250</v>
      </c>
      <c r="C258" s="9" t="s">
        <v>36</v>
      </c>
      <c r="D258" s="10">
        <f t="shared" si="34"/>
        <v>0</v>
      </c>
      <c r="E258" s="10">
        <f t="shared" si="35"/>
        <v>0</v>
      </c>
      <c r="F258" s="10">
        <f t="shared" si="36"/>
        <v>0</v>
      </c>
      <c r="G258" s="11">
        <f t="shared" si="41"/>
        <v>0</v>
      </c>
      <c r="H258" s="9"/>
      <c r="I258" s="92">
        <f t="shared" si="42"/>
      </c>
      <c r="L258" s="9">
        <v>250</v>
      </c>
      <c r="M258" s="9" t="s">
        <v>36</v>
      </c>
      <c r="N258" s="10">
        <f t="shared" si="37"/>
        <v>0</v>
      </c>
      <c r="O258" s="10">
        <f t="shared" si="38"/>
        <v>0</v>
      </c>
      <c r="P258" s="10">
        <f t="shared" si="39"/>
        <v>0</v>
      </c>
      <c r="Q258" s="11">
        <f t="shared" si="40"/>
        <v>0</v>
      </c>
      <c r="S258" s="92">
        <f t="shared" si="33"/>
      </c>
      <c r="V258" s="104"/>
    </row>
    <row r="259" spans="2:22" ht="12.75">
      <c r="B259" s="9">
        <v>251</v>
      </c>
      <c r="C259" s="9" t="s">
        <v>37</v>
      </c>
      <c r="D259" s="10">
        <f t="shared" si="34"/>
        <v>0</v>
      </c>
      <c r="E259" s="10">
        <f t="shared" si="35"/>
        <v>0</v>
      </c>
      <c r="F259" s="10">
        <f t="shared" si="36"/>
        <v>0</v>
      </c>
      <c r="G259" s="11">
        <f t="shared" si="41"/>
        <v>0</v>
      </c>
      <c r="H259" s="9"/>
      <c r="I259" s="92">
        <f t="shared" si="42"/>
      </c>
      <c r="L259" s="9">
        <v>251</v>
      </c>
      <c r="M259" s="9" t="s">
        <v>37</v>
      </c>
      <c r="N259" s="10">
        <f t="shared" si="37"/>
        <v>0</v>
      </c>
      <c r="O259" s="10">
        <f t="shared" si="38"/>
        <v>0</v>
      </c>
      <c r="P259" s="10">
        <f t="shared" si="39"/>
        <v>0</v>
      </c>
      <c r="Q259" s="11">
        <f t="shared" si="40"/>
        <v>0</v>
      </c>
      <c r="S259" s="92">
        <f t="shared" si="33"/>
      </c>
      <c r="V259" s="104"/>
    </row>
    <row r="260" spans="2:22" ht="12.75">
      <c r="B260" s="9">
        <v>252</v>
      </c>
      <c r="C260" s="9" t="s">
        <v>38</v>
      </c>
      <c r="D260" s="10">
        <f t="shared" si="34"/>
        <v>0</v>
      </c>
      <c r="E260" s="10">
        <f t="shared" si="35"/>
        <v>0</v>
      </c>
      <c r="F260" s="10">
        <f t="shared" si="36"/>
        <v>0</v>
      </c>
      <c r="G260" s="11">
        <f t="shared" si="41"/>
        <v>0</v>
      </c>
      <c r="H260" s="9"/>
      <c r="I260" s="92">
        <f t="shared" si="42"/>
      </c>
      <c r="L260" s="9">
        <v>252</v>
      </c>
      <c r="M260" s="9" t="s">
        <v>38</v>
      </c>
      <c r="N260" s="10">
        <f t="shared" si="37"/>
        <v>0</v>
      </c>
      <c r="O260" s="10">
        <f t="shared" si="38"/>
        <v>0</v>
      </c>
      <c r="P260" s="10">
        <f t="shared" si="39"/>
        <v>0</v>
      </c>
      <c r="Q260" s="11">
        <f t="shared" si="40"/>
        <v>0</v>
      </c>
      <c r="S260" s="92">
        <f t="shared" si="33"/>
      </c>
      <c r="V260" s="104"/>
    </row>
    <row r="261" spans="2:22" ht="12.75">
      <c r="B261" s="84">
        <v>253</v>
      </c>
      <c r="C261" s="84" t="s">
        <v>27</v>
      </c>
      <c r="D261" s="85">
        <f t="shared" si="34"/>
        <v>0</v>
      </c>
      <c r="E261" s="85">
        <f t="shared" si="35"/>
        <v>0</v>
      </c>
      <c r="F261" s="85">
        <f t="shared" si="36"/>
        <v>0</v>
      </c>
      <c r="G261" s="86">
        <f t="shared" si="41"/>
        <v>0</v>
      </c>
      <c r="H261" s="68">
        <f>IF((G260-F261)&gt;Energie!S31,Energie!S31,(G260-F261))</f>
        <v>0</v>
      </c>
      <c r="I261" s="92">
        <f t="shared" si="42"/>
      </c>
      <c r="K261">
        <v>21</v>
      </c>
      <c r="L261" s="84">
        <v>253</v>
      </c>
      <c r="M261" s="84" t="s">
        <v>27</v>
      </c>
      <c r="N261" s="85">
        <f t="shared" si="37"/>
        <v>0</v>
      </c>
      <c r="O261" s="85">
        <f t="shared" si="38"/>
        <v>0</v>
      </c>
      <c r="P261" s="85">
        <f t="shared" si="39"/>
        <v>0</v>
      </c>
      <c r="Q261" s="86">
        <f t="shared" si="40"/>
        <v>0</v>
      </c>
      <c r="S261" s="92">
        <f t="shared" si="33"/>
      </c>
      <c r="T261" s="128">
        <f>SUM(N249:N260)</f>
        <v>0</v>
      </c>
      <c r="U261" s="128">
        <f>(SUM(N249:N260)+U249)</f>
        <v>505702.2279074476</v>
      </c>
      <c r="V261" s="104"/>
    </row>
    <row r="262" spans="2:22" ht="12.75">
      <c r="B262" s="9">
        <v>254</v>
      </c>
      <c r="C262" s="9" t="s">
        <v>28</v>
      </c>
      <c r="D262" s="10">
        <f t="shared" si="34"/>
        <v>0</v>
      </c>
      <c r="E262" s="10">
        <f t="shared" si="35"/>
        <v>0</v>
      </c>
      <c r="F262" s="10">
        <f t="shared" si="36"/>
        <v>0</v>
      </c>
      <c r="G262" s="11">
        <f t="shared" si="41"/>
        <v>0</v>
      </c>
      <c r="H262" s="9"/>
      <c r="I262" s="92">
        <f t="shared" si="42"/>
      </c>
      <c r="L262" s="9">
        <v>254</v>
      </c>
      <c r="M262" s="9" t="s">
        <v>28</v>
      </c>
      <c r="N262" s="10">
        <f t="shared" si="37"/>
        <v>0</v>
      </c>
      <c r="O262" s="10">
        <f t="shared" si="38"/>
        <v>0</v>
      </c>
      <c r="P262" s="10">
        <f t="shared" si="39"/>
        <v>0</v>
      </c>
      <c r="Q262" s="11">
        <f t="shared" si="40"/>
        <v>0</v>
      </c>
      <c r="S262" s="92">
        <f aca="true" t="shared" si="43" ref="S262:S325">IF(O262&gt;0,L262,"")</f>
      </c>
      <c r="V262" s="104"/>
    </row>
    <row r="263" spans="2:22" ht="12.75">
      <c r="B263" s="9">
        <v>255</v>
      </c>
      <c r="C263" s="9" t="s">
        <v>29</v>
      </c>
      <c r="D263" s="10">
        <f t="shared" si="34"/>
        <v>0</v>
      </c>
      <c r="E263" s="10">
        <f t="shared" si="35"/>
        <v>0</v>
      </c>
      <c r="F263" s="10">
        <f t="shared" si="36"/>
        <v>0</v>
      </c>
      <c r="G263" s="11">
        <f t="shared" si="41"/>
        <v>0</v>
      </c>
      <c r="H263" s="9"/>
      <c r="I263" s="92">
        <f t="shared" si="42"/>
      </c>
      <c r="L263" s="9">
        <v>255</v>
      </c>
      <c r="M263" s="9" t="s">
        <v>29</v>
      </c>
      <c r="N263" s="10">
        <f t="shared" si="37"/>
        <v>0</v>
      </c>
      <c r="O263" s="10">
        <f t="shared" si="38"/>
        <v>0</v>
      </c>
      <c r="P263" s="10">
        <f t="shared" si="39"/>
        <v>0</v>
      </c>
      <c r="Q263" s="11">
        <f t="shared" si="40"/>
        <v>0</v>
      </c>
      <c r="S263" s="92">
        <f t="shared" si="43"/>
      </c>
      <c r="V263" s="104"/>
    </row>
    <row r="264" spans="2:22" ht="12.75">
      <c r="B264" s="9">
        <v>256</v>
      </c>
      <c r="C264" s="9" t="s">
        <v>30</v>
      </c>
      <c r="D264" s="10">
        <f t="shared" si="34"/>
        <v>0</v>
      </c>
      <c r="E264" s="10">
        <f t="shared" si="35"/>
        <v>0</v>
      </c>
      <c r="F264" s="10">
        <f t="shared" si="36"/>
        <v>0</v>
      </c>
      <c r="G264" s="11">
        <f t="shared" si="41"/>
        <v>0</v>
      </c>
      <c r="H264" s="9"/>
      <c r="I264" s="92">
        <f t="shared" si="42"/>
      </c>
      <c r="L264" s="9">
        <v>256</v>
      </c>
      <c r="M264" s="9" t="s">
        <v>30</v>
      </c>
      <c r="N264" s="10">
        <f t="shared" si="37"/>
        <v>0</v>
      </c>
      <c r="O264" s="10">
        <f t="shared" si="38"/>
        <v>0</v>
      </c>
      <c r="P264" s="10">
        <f t="shared" si="39"/>
        <v>0</v>
      </c>
      <c r="Q264" s="11">
        <f t="shared" si="40"/>
        <v>0</v>
      </c>
      <c r="S264" s="92">
        <f t="shared" si="43"/>
      </c>
      <c r="V264" s="104"/>
    </row>
    <row r="265" spans="2:22" ht="12.75">
      <c r="B265" s="9">
        <v>257</v>
      </c>
      <c r="C265" s="9" t="s">
        <v>31</v>
      </c>
      <c r="D265" s="10">
        <f t="shared" si="34"/>
        <v>0</v>
      </c>
      <c r="E265" s="10">
        <f t="shared" si="35"/>
        <v>0</v>
      </c>
      <c r="F265" s="10">
        <f t="shared" si="36"/>
        <v>0</v>
      </c>
      <c r="G265" s="11">
        <f t="shared" si="41"/>
        <v>0</v>
      </c>
      <c r="H265" s="9"/>
      <c r="I265" s="92">
        <f t="shared" si="42"/>
      </c>
      <c r="L265" s="9">
        <v>257</v>
      </c>
      <c r="M265" s="9" t="s">
        <v>31</v>
      </c>
      <c r="N265" s="10">
        <f t="shared" si="37"/>
        <v>0</v>
      </c>
      <c r="O265" s="10">
        <f t="shared" si="38"/>
        <v>0</v>
      </c>
      <c r="P265" s="10">
        <f t="shared" si="39"/>
        <v>0</v>
      </c>
      <c r="Q265" s="11">
        <f t="shared" si="40"/>
        <v>0</v>
      </c>
      <c r="S265" s="92">
        <f t="shared" si="43"/>
      </c>
      <c r="V265" s="104"/>
    </row>
    <row r="266" spans="2:22" ht="12.75">
      <c r="B266" s="9">
        <v>258</v>
      </c>
      <c r="C266" s="9" t="s">
        <v>32</v>
      </c>
      <c r="D266" s="10">
        <f aca="true" t="shared" si="44" ref="D266:D329">IF(G265&lt;D$5,G265+E266,D$5)</f>
        <v>0</v>
      </c>
      <c r="E266" s="10">
        <f aca="true" t="shared" si="45" ref="E266:E329">IF(G265/100*E$5/12&lt;0,0,G265/100*E$5/12)</f>
        <v>0</v>
      </c>
      <c r="F266" s="10">
        <f aca="true" t="shared" si="46" ref="F266:F329">D266-E266</f>
        <v>0</v>
      </c>
      <c r="G266" s="11">
        <f t="shared" si="41"/>
        <v>0</v>
      </c>
      <c r="H266" s="9"/>
      <c r="I266" s="92">
        <f t="shared" si="42"/>
      </c>
      <c r="L266" s="9">
        <v>258</v>
      </c>
      <c r="M266" s="9" t="s">
        <v>32</v>
      </c>
      <c r="N266" s="10">
        <f aca="true" t="shared" si="47" ref="N266:N329">IF(Q265&lt;D$5,Q265+O266,D$5)</f>
        <v>0</v>
      </c>
      <c r="O266" s="10">
        <f aca="true" t="shared" si="48" ref="O266:O329">IF(Q265/100*E$5/12&lt;0,0,Q265/100*E$5/12)</f>
        <v>0</v>
      </c>
      <c r="P266" s="10">
        <f aca="true" t="shared" si="49" ref="P266:P329">N266-O266</f>
        <v>0</v>
      </c>
      <c r="Q266" s="11">
        <f t="shared" si="40"/>
        <v>0</v>
      </c>
      <c r="S266" s="92">
        <f t="shared" si="43"/>
      </c>
      <c r="V266" s="104"/>
    </row>
    <row r="267" spans="2:22" ht="12.75">
      <c r="B267" s="9">
        <v>259</v>
      </c>
      <c r="C267" s="9" t="s">
        <v>33</v>
      </c>
      <c r="D267" s="10">
        <f t="shared" si="44"/>
        <v>0</v>
      </c>
      <c r="E267" s="10">
        <f t="shared" si="45"/>
        <v>0</v>
      </c>
      <c r="F267" s="10">
        <f t="shared" si="46"/>
        <v>0</v>
      </c>
      <c r="G267" s="11">
        <f t="shared" si="41"/>
        <v>0</v>
      </c>
      <c r="H267" s="9"/>
      <c r="I267" s="92">
        <f t="shared" si="42"/>
      </c>
      <c r="L267" s="9">
        <v>259</v>
      </c>
      <c r="M267" s="9" t="s">
        <v>33</v>
      </c>
      <c r="N267" s="10">
        <f t="shared" si="47"/>
        <v>0</v>
      </c>
      <c r="O267" s="10">
        <f t="shared" si="48"/>
        <v>0</v>
      </c>
      <c r="P267" s="10">
        <f t="shared" si="49"/>
        <v>0</v>
      </c>
      <c r="Q267" s="11">
        <f aca="true" t="shared" si="50" ref="Q267:Q330">Q266-P267</f>
        <v>0</v>
      </c>
      <c r="S267" s="92">
        <f t="shared" si="43"/>
      </c>
      <c r="V267" s="104"/>
    </row>
    <row r="268" spans="2:22" ht="12.75">
      <c r="B268" s="9">
        <v>260</v>
      </c>
      <c r="C268" s="9" t="s">
        <v>34</v>
      </c>
      <c r="D268" s="10">
        <f t="shared" si="44"/>
        <v>0</v>
      </c>
      <c r="E268" s="10">
        <f t="shared" si="45"/>
        <v>0</v>
      </c>
      <c r="F268" s="10">
        <f t="shared" si="46"/>
        <v>0</v>
      </c>
      <c r="G268" s="11">
        <f aca="true" t="shared" si="51" ref="G268:G331">G267-F268-H268</f>
        <v>0</v>
      </c>
      <c r="H268" s="9"/>
      <c r="I268" s="92">
        <f t="shared" si="42"/>
      </c>
      <c r="L268" s="9">
        <v>260</v>
      </c>
      <c r="M268" s="9" t="s">
        <v>34</v>
      </c>
      <c r="N268" s="10">
        <f t="shared" si="47"/>
        <v>0</v>
      </c>
      <c r="O268" s="10">
        <f t="shared" si="48"/>
        <v>0</v>
      </c>
      <c r="P268" s="10">
        <f t="shared" si="49"/>
        <v>0</v>
      </c>
      <c r="Q268" s="11">
        <f t="shared" si="50"/>
        <v>0</v>
      </c>
      <c r="S268" s="92">
        <f t="shared" si="43"/>
      </c>
      <c r="V268" s="104"/>
    </row>
    <row r="269" spans="2:22" ht="12.75">
      <c r="B269" s="9">
        <v>261</v>
      </c>
      <c r="C269" s="9" t="s">
        <v>35</v>
      </c>
      <c r="D269" s="10">
        <f t="shared" si="44"/>
        <v>0</v>
      </c>
      <c r="E269" s="10">
        <f t="shared" si="45"/>
        <v>0</v>
      </c>
      <c r="F269" s="10">
        <f t="shared" si="46"/>
        <v>0</v>
      </c>
      <c r="G269" s="11">
        <f t="shared" si="51"/>
        <v>0</v>
      </c>
      <c r="H269" s="9"/>
      <c r="I269" s="92">
        <f t="shared" si="42"/>
      </c>
      <c r="L269" s="9">
        <v>261</v>
      </c>
      <c r="M269" s="9" t="s">
        <v>35</v>
      </c>
      <c r="N269" s="10">
        <f t="shared" si="47"/>
        <v>0</v>
      </c>
      <c r="O269" s="10">
        <f t="shared" si="48"/>
        <v>0</v>
      </c>
      <c r="P269" s="10">
        <f t="shared" si="49"/>
        <v>0</v>
      </c>
      <c r="Q269" s="11">
        <f t="shared" si="50"/>
        <v>0</v>
      </c>
      <c r="S269" s="92">
        <f t="shared" si="43"/>
      </c>
      <c r="V269" s="104"/>
    </row>
    <row r="270" spans="2:22" ht="12.75">
      <c r="B270" s="9">
        <v>262</v>
      </c>
      <c r="C270" s="9" t="s">
        <v>36</v>
      </c>
      <c r="D270" s="10">
        <f t="shared" si="44"/>
        <v>0</v>
      </c>
      <c r="E270" s="10">
        <f t="shared" si="45"/>
        <v>0</v>
      </c>
      <c r="F270" s="10">
        <f t="shared" si="46"/>
        <v>0</v>
      </c>
      <c r="G270" s="11">
        <f t="shared" si="51"/>
        <v>0</v>
      </c>
      <c r="H270" s="9"/>
      <c r="I270" s="92">
        <f t="shared" si="42"/>
      </c>
      <c r="L270" s="9">
        <v>262</v>
      </c>
      <c r="M270" s="9" t="s">
        <v>36</v>
      </c>
      <c r="N270" s="10">
        <f t="shared" si="47"/>
        <v>0</v>
      </c>
      <c r="O270" s="10">
        <f t="shared" si="48"/>
        <v>0</v>
      </c>
      <c r="P270" s="10">
        <f t="shared" si="49"/>
        <v>0</v>
      </c>
      <c r="Q270" s="11">
        <f t="shared" si="50"/>
        <v>0</v>
      </c>
      <c r="S270" s="92">
        <f t="shared" si="43"/>
      </c>
      <c r="V270" s="104"/>
    </row>
    <row r="271" spans="2:22" ht="12.75">
      <c r="B271" s="9">
        <v>263</v>
      </c>
      <c r="C271" s="9" t="s">
        <v>37</v>
      </c>
      <c r="D271" s="10">
        <f t="shared" si="44"/>
        <v>0</v>
      </c>
      <c r="E271" s="10">
        <f t="shared" si="45"/>
        <v>0</v>
      </c>
      <c r="F271" s="10">
        <f t="shared" si="46"/>
        <v>0</v>
      </c>
      <c r="G271" s="11">
        <f t="shared" si="51"/>
        <v>0</v>
      </c>
      <c r="H271" s="9"/>
      <c r="I271" s="92">
        <f t="shared" si="42"/>
      </c>
      <c r="L271" s="9">
        <v>263</v>
      </c>
      <c r="M271" s="9" t="s">
        <v>37</v>
      </c>
      <c r="N271" s="10">
        <f t="shared" si="47"/>
        <v>0</v>
      </c>
      <c r="O271" s="10">
        <f t="shared" si="48"/>
        <v>0</v>
      </c>
      <c r="P271" s="10">
        <f t="shared" si="49"/>
        <v>0</v>
      </c>
      <c r="Q271" s="11">
        <f t="shared" si="50"/>
        <v>0</v>
      </c>
      <c r="S271" s="92">
        <f t="shared" si="43"/>
      </c>
      <c r="V271" s="104"/>
    </row>
    <row r="272" spans="2:22" ht="12.75">
      <c r="B272" s="9">
        <v>264</v>
      </c>
      <c r="C272" s="9" t="s">
        <v>38</v>
      </c>
      <c r="D272" s="10">
        <f t="shared" si="44"/>
        <v>0</v>
      </c>
      <c r="E272" s="10">
        <f t="shared" si="45"/>
        <v>0</v>
      </c>
      <c r="F272" s="10">
        <f t="shared" si="46"/>
        <v>0</v>
      </c>
      <c r="G272" s="11">
        <f t="shared" si="51"/>
        <v>0</v>
      </c>
      <c r="H272" s="9"/>
      <c r="I272" s="92">
        <f t="shared" si="42"/>
      </c>
      <c r="L272" s="9">
        <v>264</v>
      </c>
      <c r="M272" s="9" t="s">
        <v>38</v>
      </c>
      <c r="N272" s="10">
        <f t="shared" si="47"/>
        <v>0</v>
      </c>
      <c r="O272" s="10">
        <f t="shared" si="48"/>
        <v>0</v>
      </c>
      <c r="P272" s="10">
        <f t="shared" si="49"/>
        <v>0</v>
      </c>
      <c r="Q272" s="11">
        <f t="shared" si="50"/>
        <v>0</v>
      </c>
      <c r="S272" s="92">
        <f t="shared" si="43"/>
      </c>
      <c r="V272" s="104"/>
    </row>
    <row r="273" spans="2:22" ht="12.75">
      <c r="B273" s="84">
        <v>265</v>
      </c>
      <c r="C273" s="84" t="s">
        <v>27</v>
      </c>
      <c r="D273" s="85">
        <f t="shared" si="44"/>
        <v>0</v>
      </c>
      <c r="E273" s="85">
        <f t="shared" si="45"/>
        <v>0</v>
      </c>
      <c r="F273" s="85">
        <f t="shared" si="46"/>
        <v>0</v>
      </c>
      <c r="G273" s="86">
        <f t="shared" si="51"/>
        <v>0</v>
      </c>
      <c r="H273" s="68">
        <f>IF((G272-F273)&gt;Energie!S32,Energie!S32,(G272-F273))</f>
        <v>0</v>
      </c>
      <c r="I273" s="92">
        <f t="shared" si="42"/>
      </c>
      <c r="K273">
        <v>22</v>
      </c>
      <c r="L273" s="84">
        <v>265</v>
      </c>
      <c r="M273" s="84" t="s">
        <v>27</v>
      </c>
      <c r="N273" s="85">
        <f t="shared" si="47"/>
        <v>0</v>
      </c>
      <c r="O273" s="85">
        <f t="shared" si="48"/>
        <v>0</v>
      </c>
      <c r="P273" s="85">
        <f t="shared" si="49"/>
        <v>0</v>
      </c>
      <c r="Q273" s="86">
        <f t="shared" si="50"/>
        <v>0</v>
      </c>
      <c r="S273" s="92">
        <f t="shared" si="43"/>
      </c>
      <c r="T273" s="128">
        <f>SUM(N261:N272)</f>
        <v>0</v>
      </c>
      <c r="U273" s="128">
        <f>(SUM(N261:N272)+U261)</f>
        <v>505702.2279074476</v>
      </c>
      <c r="V273" s="104"/>
    </row>
    <row r="274" spans="2:22" ht="12.75">
      <c r="B274" s="9">
        <v>266</v>
      </c>
      <c r="C274" s="9" t="s">
        <v>28</v>
      </c>
      <c r="D274" s="10">
        <f t="shared" si="44"/>
        <v>0</v>
      </c>
      <c r="E274" s="10">
        <f t="shared" si="45"/>
        <v>0</v>
      </c>
      <c r="F274" s="10">
        <f t="shared" si="46"/>
        <v>0</v>
      </c>
      <c r="G274" s="11">
        <f t="shared" si="51"/>
        <v>0</v>
      </c>
      <c r="H274" s="9"/>
      <c r="I274" s="92">
        <f t="shared" si="42"/>
      </c>
      <c r="L274" s="9">
        <v>266</v>
      </c>
      <c r="M274" s="9" t="s">
        <v>28</v>
      </c>
      <c r="N274" s="10">
        <f t="shared" si="47"/>
        <v>0</v>
      </c>
      <c r="O274" s="10">
        <f t="shared" si="48"/>
        <v>0</v>
      </c>
      <c r="P274" s="10">
        <f t="shared" si="49"/>
        <v>0</v>
      </c>
      <c r="Q274" s="11">
        <f t="shared" si="50"/>
        <v>0</v>
      </c>
      <c r="S274" s="92">
        <f t="shared" si="43"/>
      </c>
      <c r="V274" s="104"/>
    </row>
    <row r="275" spans="2:22" ht="12.75">
      <c r="B275" s="9">
        <v>267</v>
      </c>
      <c r="C275" s="9" t="s">
        <v>29</v>
      </c>
      <c r="D275" s="10">
        <f t="shared" si="44"/>
        <v>0</v>
      </c>
      <c r="E275" s="10">
        <f t="shared" si="45"/>
        <v>0</v>
      </c>
      <c r="F275" s="10">
        <f t="shared" si="46"/>
        <v>0</v>
      </c>
      <c r="G275" s="11">
        <f t="shared" si="51"/>
        <v>0</v>
      </c>
      <c r="H275" s="9"/>
      <c r="I275" s="92">
        <f t="shared" si="42"/>
      </c>
      <c r="L275" s="9">
        <v>267</v>
      </c>
      <c r="M275" s="9" t="s">
        <v>29</v>
      </c>
      <c r="N275" s="10">
        <f t="shared" si="47"/>
        <v>0</v>
      </c>
      <c r="O275" s="10">
        <f t="shared" si="48"/>
        <v>0</v>
      </c>
      <c r="P275" s="10">
        <f t="shared" si="49"/>
        <v>0</v>
      </c>
      <c r="Q275" s="11">
        <f t="shared" si="50"/>
        <v>0</v>
      </c>
      <c r="S275" s="92">
        <f t="shared" si="43"/>
      </c>
      <c r="V275" s="104"/>
    </row>
    <row r="276" spans="2:22" ht="12.75">
      <c r="B276" s="9">
        <v>268</v>
      </c>
      <c r="C276" s="9" t="s">
        <v>30</v>
      </c>
      <c r="D276" s="10">
        <f t="shared" si="44"/>
        <v>0</v>
      </c>
      <c r="E276" s="10">
        <f t="shared" si="45"/>
        <v>0</v>
      </c>
      <c r="F276" s="10">
        <f t="shared" si="46"/>
        <v>0</v>
      </c>
      <c r="G276" s="11">
        <f t="shared" si="51"/>
        <v>0</v>
      </c>
      <c r="H276" s="9"/>
      <c r="I276" s="92">
        <f t="shared" si="42"/>
      </c>
      <c r="L276" s="9">
        <v>268</v>
      </c>
      <c r="M276" s="9" t="s">
        <v>30</v>
      </c>
      <c r="N276" s="10">
        <f t="shared" si="47"/>
        <v>0</v>
      </c>
      <c r="O276" s="10">
        <f t="shared" si="48"/>
        <v>0</v>
      </c>
      <c r="P276" s="10">
        <f t="shared" si="49"/>
        <v>0</v>
      </c>
      <c r="Q276" s="11">
        <f t="shared" si="50"/>
        <v>0</v>
      </c>
      <c r="S276" s="92">
        <f t="shared" si="43"/>
      </c>
      <c r="V276" s="104"/>
    </row>
    <row r="277" spans="2:22" ht="12.75">
      <c r="B277" s="9">
        <v>269</v>
      </c>
      <c r="C277" s="9" t="s">
        <v>31</v>
      </c>
      <c r="D277" s="10">
        <f t="shared" si="44"/>
        <v>0</v>
      </c>
      <c r="E277" s="10">
        <f t="shared" si="45"/>
        <v>0</v>
      </c>
      <c r="F277" s="10">
        <f t="shared" si="46"/>
        <v>0</v>
      </c>
      <c r="G277" s="11">
        <f t="shared" si="51"/>
        <v>0</v>
      </c>
      <c r="H277" s="9"/>
      <c r="I277" s="92">
        <f t="shared" si="42"/>
      </c>
      <c r="L277" s="9">
        <v>269</v>
      </c>
      <c r="M277" s="9" t="s">
        <v>31</v>
      </c>
      <c r="N277" s="10">
        <f t="shared" si="47"/>
        <v>0</v>
      </c>
      <c r="O277" s="10">
        <f t="shared" si="48"/>
        <v>0</v>
      </c>
      <c r="P277" s="10">
        <f t="shared" si="49"/>
        <v>0</v>
      </c>
      <c r="Q277" s="11">
        <f t="shared" si="50"/>
        <v>0</v>
      </c>
      <c r="S277" s="92">
        <f t="shared" si="43"/>
      </c>
      <c r="V277" s="104"/>
    </row>
    <row r="278" spans="2:22" ht="12.75">
      <c r="B278" s="9">
        <v>270</v>
      </c>
      <c r="C278" s="9" t="s">
        <v>32</v>
      </c>
      <c r="D278" s="10">
        <f t="shared" si="44"/>
        <v>0</v>
      </c>
      <c r="E278" s="10">
        <f t="shared" si="45"/>
        <v>0</v>
      </c>
      <c r="F278" s="10">
        <f t="shared" si="46"/>
        <v>0</v>
      </c>
      <c r="G278" s="11">
        <f t="shared" si="51"/>
        <v>0</v>
      </c>
      <c r="H278" s="9"/>
      <c r="I278" s="92">
        <f t="shared" si="42"/>
      </c>
      <c r="L278" s="9">
        <v>270</v>
      </c>
      <c r="M278" s="9" t="s">
        <v>32</v>
      </c>
      <c r="N278" s="10">
        <f t="shared" si="47"/>
        <v>0</v>
      </c>
      <c r="O278" s="10">
        <f t="shared" si="48"/>
        <v>0</v>
      </c>
      <c r="P278" s="10">
        <f t="shared" si="49"/>
        <v>0</v>
      </c>
      <c r="Q278" s="11">
        <f t="shared" si="50"/>
        <v>0</v>
      </c>
      <c r="S278" s="92">
        <f t="shared" si="43"/>
      </c>
      <c r="V278" s="104"/>
    </row>
    <row r="279" spans="2:22" ht="12.75">
      <c r="B279" s="9">
        <v>271</v>
      </c>
      <c r="C279" s="9" t="s">
        <v>33</v>
      </c>
      <c r="D279" s="10">
        <f t="shared" si="44"/>
        <v>0</v>
      </c>
      <c r="E279" s="10">
        <f t="shared" si="45"/>
        <v>0</v>
      </c>
      <c r="F279" s="10">
        <f t="shared" si="46"/>
        <v>0</v>
      </c>
      <c r="G279" s="11">
        <f t="shared" si="51"/>
        <v>0</v>
      </c>
      <c r="H279" s="9"/>
      <c r="I279" s="92">
        <f t="shared" si="42"/>
      </c>
      <c r="L279" s="9">
        <v>271</v>
      </c>
      <c r="M279" s="9" t="s">
        <v>33</v>
      </c>
      <c r="N279" s="10">
        <f t="shared" si="47"/>
        <v>0</v>
      </c>
      <c r="O279" s="10">
        <f t="shared" si="48"/>
        <v>0</v>
      </c>
      <c r="P279" s="10">
        <f t="shared" si="49"/>
        <v>0</v>
      </c>
      <c r="Q279" s="11">
        <f t="shared" si="50"/>
        <v>0</v>
      </c>
      <c r="S279" s="92">
        <f t="shared" si="43"/>
      </c>
      <c r="V279" s="104"/>
    </row>
    <row r="280" spans="2:22" ht="12.75">
      <c r="B280" s="9">
        <v>272</v>
      </c>
      <c r="C280" s="9" t="s">
        <v>34</v>
      </c>
      <c r="D280" s="10">
        <f t="shared" si="44"/>
        <v>0</v>
      </c>
      <c r="E280" s="10">
        <f t="shared" si="45"/>
        <v>0</v>
      </c>
      <c r="F280" s="10">
        <f t="shared" si="46"/>
        <v>0</v>
      </c>
      <c r="G280" s="11">
        <f t="shared" si="51"/>
        <v>0</v>
      </c>
      <c r="H280" s="9"/>
      <c r="I280" s="92">
        <f t="shared" si="42"/>
      </c>
      <c r="L280" s="9">
        <v>272</v>
      </c>
      <c r="M280" s="9" t="s">
        <v>34</v>
      </c>
      <c r="N280" s="10">
        <f t="shared" si="47"/>
        <v>0</v>
      </c>
      <c r="O280" s="10">
        <f t="shared" si="48"/>
        <v>0</v>
      </c>
      <c r="P280" s="10">
        <f t="shared" si="49"/>
        <v>0</v>
      </c>
      <c r="Q280" s="11">
        <f t="shared" si="50"/>
        <v>0</v>
      </c>
      <c r="S280" s="92">
        <f t="shared" si="43"/>
      </c>
      <c r="V280" s="104"/>
    </row>
    <row r="281" spans="2:22" ht="12.75">
      <c r="B281" s="9">
        <v>273</v>
      </c>
      <c r="C281" s="9" t="s">
        <v>35</v>
      </c>
      <c r="D281" s="10">
        <f t="shared" si="44"/>
        <v>0</v>
      </c>
      <c r="E281" s="10">
        <f t="shared" si="45"/>
        <v>0</v>
      </c>
      <c r="F281" s="10">
        <f t="shared" si="46"/>
        <v>0</v>
      </c>
      <c r="G281" s="11">
        <f t="shared" si="51"/>
        <v>0</v>
      </c>
      <c r="H281" s="9"/>
      <c r="I281" s="92">
        <f t="shared" si="42"/>
      </c>
      <c r="L281" s="9">
        <v>273</v>
      </c>
      <c r="M281" s="9" t="s">
        <v>35</v>
      </c>
      <c r="N281" s="10">
        <f t="shared" si="47"/>
        <v>0</v>
      </c>
      <c r="O281" s="10">
        <f t="shared" si="48"/>
        <v>0</v>
      </c>
      <c r="P281" s="10">
        <f t="shared" si="49"/>
        <v>0</v>
      </c>
      <c r="Q281" s="11">
        <f t="shared" si="50"/>
        <v>0</v>
      </c>
      <c r="S281" s="92">
        <f t="shared" si="43"/>
      </c>
      <c r="V281" s="104"/>
    </row>
    <row r="282" spans="2:22" ht="12.75">
      <c r="B282" s="9">
        <v>274</v>
      </c>
      <c r="C282" s="9" t="s">
        <v>36</v>
      </c>
      <c r="D282" s="10">
        <f t="shared" si="44"/>
        <v>0</v>
      </c>
      <c r="E282" s="10">
        <f t="shared" si="45"/>
        <v>0</v>
      </c>
      <c r="F282" s="10">
        <f t="shared" si="46"/>
        <v>0</v>
      </c>
      <c r="G282" s="11">
        <f t="shared" si="51"/>
        <v>0</v>
      </c>
      <c r="H282" s="9"/>
      <c r="I282" s="92">
        <f t="shared" si="42"/>
      </c>
      <c r="L282" s="9">
        <v>274</v>
      </c>
      <c r="M282" s="9" t="s">
        <v>36</v>
      </c>
      <c r="N282" s="10">
        <f t="shared" si="47"/>
        <v>0</v>
      </c>
      <c r="O282" s="10">
        <f t="shared" si="48"/>
        <v>0</v>
      </c>
      <c r="P282" s="10">
        <f t="shared" si="49"/>
        <v>0</v>
      </c>
      <c r="Q282" s="11">
        <f t="shared" si="50"/>
        <v>0</v>
      </c>
      <c r="S282" s="92">
        <f t="shared" si="43"/>
      </c>
      <c r="V282" s="104"/>
    </row>
    <row r="283" spans="2:22" ht="12.75">
      <c r="B283" s="9">
        <v>275</v>
      </c>
      <c r="C283" s="9" t="s">
        <v>37</v>
      </c>
      <c r="D283" s="10">
        <f t="shared" si="44"/>
        <v>0</v>
      </c>
      <c r="E283" s="10">
        <f t="shared" si="45"/>
        <v>0</v>
      </c>
      <c r="F283" s="10">
        <f t="shared" si="46"/>
        <v>0</v>
      </c>
      <c r="G283" s="11">
        <f t="shared" si="51"/>
        <v>0</v>
      </c>
      <c r="H283" s="9"/>
      <c r="I283" s="92">
        <f t="shared" si="42"/>
      </c>
      <c r="L283" s="9">
        <v>275</v>
      </c>
      <c r="M283" s="9" t="s">
        <v>37</v>
      </c>
      <c r="N283" s="10">
        <f t="shared" si="47"/>
        <v>0</v>
      </c>
      <c r="O283" s="10">
        <f t="shared" si="48"/>
        <v>0</v>
      </c>
      <c r="P283" s="10">
        <f t="shared" si="49"/>
        <v>0</v>
      </c>
      <c r="Q283" s="11">
        <f t="shared" si="50"/>
        <v>0</v>
      </c>
      <c r="S283" s="92">
        <f t="shared" si="43"/>
      </c>
      <c r="V283" s="104"/>
    </row>
    <row r="284" spans="2:22" ht="12.75">
      <c r="B284" s="9">
        <v>276</v>
      </c>
      <c r="C284" s="9" t="s">
        <v>38</v>
      </c>
      <c r="D284" s="10">
        <f t="shared" si="44"/>
        <v>0</v>
      </c>
      <c r="E284" s="10">
        <f t="shared" si="45"/>
        <v>0</v>
      </c>
      <c r="F284" s="10">
        <f t="shared" si="46"/>
        <v>0</v>
      </c>
      <c r="G284" s="11">
        <f t="shared" si="51"/>
        <v>0</v>
      </c>
      <c r="H284" s="9"/>
      <c r="I284" s="92">
        <f t="shared" si="42"/>
      </c>
      <c r="L284" s="9">
        <v>276</v>
      </c>
      <c r="M284" s="9" t="s">
        <v>38</v>
      </c>
      <c r="N284" s="10">
        <f t="shared" si="47"/>
        <v>0</v>
      </c>
      <c r="O284" s="10">
        <f t="shared" si="48"/>
        <v>0</v>
      </c>
      <c r="P284" s="10">
        <f t="shared" si="49"/>
        <v>0</v>
      </c>
      <c r="Q284" s="11">
        <f t="shared" si="50"/>
        <v>0</v>
      </c>
      <c r="S284" s="92">
        <f t="shared" si="43"/>
      </c>
      <c r="V284" s="104"/>
    </row>
    <row r="285" spans="2:22" ht="12.75">
      <c r="B285" s="84">
        <v>277</v>
      </c>
      <c r="C285" s="84" t="s">
        <v>27</v>
      </c>
      <c r="D285" s="85">
        <f t="shared" si="44"/>
        <v>0</v>
      </c>
      <c r="E285" s="85">
        <f t="shared" si="45"/>
        <v>0</v>
      </c>
      <c r="F285" s="85">
        <f t="shared" si="46"/>
        <v>0</v>
      </c>
      <c r="G285" s="86">
        <f t="shared" si="51"/>
        <v>0</v>
      </c>
      <c r="H285" s="68">
        <f>IF((G284-F285)&gt;Energie!S33,Energie!S33,(G284-F285))</f>
        <v>0</v>
      </c>
      <c r="I285" s="92">
        <f t="shared" si="42"/>
      </c>
      <c r="K285">
        <v>23</v>
      </c>
      <c r="L285" s="84">
        <v>277</v>
      </c>
      <c r="M285" s="84" t="s">
        <v>27</v>
      </c>
      <c r="N285" s="85">
        <f t="shared" si="47"/>
        <v>0</v>
      </c>
      <c r="O285" s="85">
        <f t="shared" si="48"/>
        <v>0</v>
      </c>
      <c r="P285" s="85">
        <f t="shared" si="49"/>
        <v>0</v>
      </c>
      <c r="Q285" s="86">
        <f t="shared" si="50"/>
        <v>0</v>
      </c>
      <c r="S285" s="92">
        <f t="shared" si="43"/>
      </c>
      <c r="T285" s="128">
        <f>SUM(N273:N284)</f>
        <v>0</v>
      </c>
      <c r="U285" s="128">
        <f>(SUM(N273:N284)+U273)</f>
        <v>505702.2279074476</v>
      </c>
      <c r="V285" s="104"/>
    </row>
    <row r="286" spans="2:22" ht="12.75">
      <c r="B286" s="9">
        <v>278</v>
      </c>
      <c r="C286" s="9" t="s">
        <v>28</v>
      </c>
      <c r="D286" s="10">
        <f t="shared" si="44"/>
        <v>0</v>
      </c>
      <c r="E286" s="10">
        <f t="shared" si="45"/>
        <v>0</v>
      </c>
      <c r="F286" s="10">
        <f t="shared" si="46"/>
        <v>0</v>
      </c>
      <c r="G286" s="11">
        <f t="shared" si="51"/>
        <v>0</v>
      </c>
      <c r="H286" s="9"/>
      <c r="I286" s="92">
        <f t="shared" si="42"/>
      </c>
      <c r="L286" s="9">
        <v>278</v>
      </c>
      <c r="M286" s="9" t="s">
        <v>28</v>
      </c>
      <c r="N286" s="10">
        <f t="shared" si="47"/>
        <v>0</v>
      </c>
      <c r="O286" s="10">
        <f t="shared" si="48"/>
        <v>0</v>
      </c>
      <c r="P286" s="10">
        <f t="shared" si="49"/>
        <v>0</v>
      </c>
      <c r="Q286" s="11">
        <f t="shared" si="50"/>
        <v>0</v>
      </c>
      <c r="S286" s="92">
        <f t="shared" si="43"/>
      </c>
      <c r="V286" s="104"/>
    </row>
    <row r="287" spans="2:22" ht="12.75">
      <c r="B287" s="9">
        <v>279</v>
      </c>
      <c r="C287" s="9" t="s">
        <v>29</v>
      </c>
      <c r="D287" s="10">
        <f t="shared" si="44"/>
        <v>0</v>
      </c>
      <c r="E287" s="10">
        <f t="shared" si="45"/>
        <v>0</v>
      </c>
      <c r="F287" s="10">
        <f t="shared" si="46"/>
        <v>0</v>
      </c>
      <c r="G287" s="11">
        <f t="shared" si="51"/>
        <v>0</v>
      </c>
      <c r="H287" s="9"/>
      <c r="I287" s="92">
        <f t="shared" si="42"/>
      </c>
      <c r="L287" s="9">
        <v>279</v>
      </c>
      <c r="M287" s="9" t="s">
        <v>29</v>
      </c>
      <c r="N287" s="10">
        <f t="shared" si="47"/>
        <v>0</v>
      </c>
      <c r="O287" s="10">
        <f t="shared" si="48"/>
        <v>0</v>
      </c>
      <c r="P287" s="10">
        <f t="shared" si="49"/>
        <v>0</v>
      </c>
      <c r="Q287" s="11">
        <f t="shared" si="50"/>
        <v>0</v>
      </c>
      <c r="S287" s="92">
        <f t="shared" si="43"/>
      </c>
      <c r="V287" s="104"/>
    </row>
    <row r="288" spans="2:22" ht="12.75">
      <c r="B288" s="9">
        <v>280</v>
      </c>
      <c r="C288" s="9" t="s">
        <v>30</v>
      </c>
      <c r="D288" s="10">
        <f t="shared" si="44"/>
        <v>0</v>
      </c>
      <c r="E288" s="10">
        <f t="shared" si="45"/>
        <v>0</v>
      </c>
      <c r="F288" s="10">
        <f t="shared" si="46"/>
        <v>0</v>
      </c>
      <c r="G288" s="11">
        <f t="shared" si="51"/>
        <v>0</v>
      </c>
      <c r="H288" s="9"/>
      <c r="I288" s="92">
        <f t="shared" si="42"/>
      </c>
      <c r="L288" s="9">
        <v>280</v>
      </c>
      <c r="M288" s="9" t="s">
        <v>30</v>
      </c>
      <c r="N288" s="10">
        <f t="shared" si="47"/>
        <v>0</v>
      </c>
      <c r="O288" s="10">
        <f t="shared" si="48"/>
        <v>0</v>
      </c>
      <c r="P288" s="10">
        <f t="shared" si="49"/>
        <v>0</v>
      </c>
      <c r="Q288" s="11">
        <f t="shared" si="50"/>
        <v>0</v>
      </c>
      <c r="S288" s="92">
        <f t="shared" si="43"/>
      </c>
      <c r="V288" s="104"/>
    </row>
    <row r="289" spans="2:22" ht="12.75">
      <c r="B289" s="9">
        <v>281</v>
      </c>
      <c r="C289" s="9" t="s">
        <v>31</v>
      </c>
      <c r="D289" s="10">
        <f t="shared" si="44"/>
        <v>0</v>
      </c>
      <c r="E289" s="10">
        <f t="shared" si="45"/>
        <v>0</v>
      </c>
      <c r="F289" s="10">
        <f t="shared" si="46"/>
        <v>0</v>
      </c>
      <c r="G289" s="11">
        <f t="shared" si="51"/>
        <v>0</v>
      </c>
      <c r="H289" s="9"/>
      <c r="I289" s="92">
        <f t="shared" si="42"/>
      </c>
      <c r="L289" s="9">
        <v>281</v>
      </c>
      <c r="M289" s="9" t="s">
        <v>31</v>
      </c>
      <c r="N289" s="10">
        <f t="shared" si="47"/>
        <v>0</v>
      </c>
      <c r="O289" s="10">
        <f t="shared" si="48"/>
        <v>0</v>
      </c>
      <c r="P289" s="10">
        <f t="shared" si="49"/>
        <v>0</v>
      </c>
      <c r="Q289" s="11">
        <f t="shared" si="50"/>
        <v>0</v>
      </c>
      <c r="S289" s="92">
        <f t="shared" si="43"/>
      </c>
      <c r="V289" s="104"/>
    </row>
    <row r="290" spans="2:22" ht="12.75">
      <c r="B290" s="9">
        <v>282</v>
      </c>
      <c r="C290" s="9" t="s">
        <v>32</v>
      </c>
      <c r="D290" s="10">
        <f t="shared" si="44"/>
        <v>0</v>
      </c>
      <c r="E290" s="10">
        <f t="shared" si="45"/>
        <v>0</v>
      </c>
      <c r="F290" s="10">
        <f t="shared" si="46"/>
        <v>0</v>
      </c>
      <c r="G290" s="11">
        <f t="shared" si="51"/>
        <v>0</v>
      </c>
      <c r="H290" s="9"/>
      <c r="I290" s="92">
        <f t="shared" si="42"/>
      </c>
      <c r="L290" s="9">
        <v>282</v>
      </c>
      <c r="M290" s="9" t="s">
        <v>32</v>
      </c>
      <c r="N290" s="10">
        <f t="shared" si="47"/>
        <v>0</v>
      </c>
      <c r="O290" s="10">
        <f t="shared" si="48"/>
        <v>0</v>
      </c>
      <c r="P290" s="10">
        <f t="shared" si="49"/>
        <v>0</v>
      </c>
      <c r="Q290" s="11">
        <f t="shared" si="50"/>
        <v>0</v>
      </c>
      <c r="S290" s="92">
        <f t="shared" si="43"/>
      </c>
      <c r="V290" s="104"/>
    </row>
    <row r="291" spans="2:22" ht="12.75">
      <c r="B291" s="9">
        <v>283</v>
      </c>
      <c r="C291" s="9" t="s">
        <v>33</v>
      </c>
      <c r="D291" s="10">
        <f t="shared" si="44"/>
        <v>0</v>
      </c>
      <c r="E291" s="10">
        <f t="shared" si="45"/>
        <v>0</v>
      </c>
      <c r="F291" s="10">
        <f t="shared" si="46"/>
        <v>0</v>
      </c>
      <c r="G291" s="11">
        <f t="shared" si="51"/>
        <v>0</v>
      </c>
      <c r="H291" s="9"/>
      <c r="I291" s="92">
        <f t="shared" si="42"/>
      </c>
      <c r="L291" s="9">
        <v>283</v>
      </c>
      <c r="M291" s="9" t="s">
        <v>33</v>
      </c>
      <c r="N291" s="10">
        <f t="shared" si="47"/>
        <v>0</v>
      </c>
      <c r="O291" s="10">
        <f t="shared" si="48"/>
        <v>0</v>
      </c>
      <c r="P291" s="10">
        <f t="shared" si="49"/>
        <v>0</v>
      </c>
      <c r="Q291" s="11">
        <f t="shared" si="50"/>
        <v>0</v>
      </c>
      <c r="S291" s="92">
        <f t="shared" si="43"/>
      </c>
      <c r="V291" s="104"/>
    </row>
    <row r="292" spans="2:22" ht="12.75">
      <c r="B292" s="9">
        <v>284</v>
      </c>
      <c r="C292" s="9" t="s">
        <v>34</v>
      </c>
      <c r="D292" s="10">
        <f t="shared" si="44"/>
        <v>0</v>
      </c>
      <c r="E292" s="10">
        <f t="shared" si="45"/>
        <v>0</v>
      </c>
      <c r="F292" s="10">
        <f t="shared" si="46"/>
        <v>0</v>
      </c>
      <c r="G292" s="11">
        <f t="shared" si="51"/>
        <v>0</v>
      </c>
      <c r="H292" s="9"/>
      <c r="I292" s="92">
        <f t="shared" si="42"/>
      </c>
      <c r="L292" s="9">
        <v>284</v>
      </c>
      <c r="M292" s="9" t="s">
        <v>34</v>
      </c>
      <c r="N292" s="10">
        <f t="shared" si="47"/>
        <v>0</v>
      </c>
      <c r="O292" s="10">
        <f t="shared" si="48"/>
        <v>0</v>
      </c>
      <c r="P292" s="10">
        <f t="shared" si="49"/>
        <v>0</v>
      </c>
      <c r="Q292" s="11">
        <f t="shared" si="50"/>
        <v>0</v>
      </c>
      <c r="S292" s="92">
        <f t="shared" si="43"/>
      </c>
      <c r="V292" s="104"/>
    </row>
    <row r="293" spans="2:22" ht="12.75">
      <c r="B293" s="9">
        <v>285</v>
      </c>
      <c r="C293" s="9" t="s">
        <v>35</v>
      </c>
      <c r="D293" s="10">
        <f t="shared" si="44"/>
        <v>0</v>
      </c>
      <c r="E293" s="10">
        <f t="shared" si="45"/>
        <v>0</v>
      </c>
      <c r="F293" s="10">
        <f t="shared" si="46"/>
        <v>0</v>
      </c>
      <c r="G293" s="11">
        <f t="shared" si="51"/>
        <v>0</v>
      </c>
      <c r="H293" s="9"/>
      <c r="I293" s="92">
        <f t="shared" si="42"/>
      </c>
      <c r="L293" s="9">
        <v>285</v>
      </c>
      <c r="M293" s="9" t="s">
        <v>35</v>
      </c>
      <c r="N293" s="10">
        <f t="shared" si="47"/>
        <v>0</v>
      </c>
      <c r="O293" s="10">
        <f t="shared" si="48"/>
        <v>0</v>
      </c>
      <c r="P293" s="10">
        <f t="shared" si="49"/>
        <v>0</v>
      </c>
      <c r="Q293" s="11">
        <f t="shared" si="50"/>
        <v>0</v>
      </c>
      <c r="S293" s="92">
        <f t="shared" si="43"/>
      </c>
      <c r="V293" s="104"/>
    </row>
    <row r="294" spans="2:22" ht="12.75">
      <c r="B294" s="9">
        <v>286</v>
      </c>
      <c r="C294" s="9" t="s">
        <v>36</v>
      </c>
      <c r="D294" s="10">
        <f t="shared" si="44"/>
        <v>0</v>
      </c>
      <c r="E294" s="10">
        <f t="shared" si="45"/>
        <v>0</v>
      </c>
      <c r="F294" s="10">
        <f t="shared" si="46"/>
        <v>0</v>
      </c>
      <c r="G294" s="11">
        <f t="shared" si="51"/>
        <v>0</v>
      </c>
      <c r="H294" s="9"/>
      <c r="I294" s="92">
        <f t="shared" si="42"/>
      </c>
      <c r="L294" s="9">
        <v>286</v>
      </c>
      <c r="M294" s="9" t="s">
        <v>36</v>
      </c>
      <c r="N294" s="10">
        <f t="shared" si="47"/>
        <v>0</v>
      </c>
      <c r="O294" s="10">
        <f t="shared" si="48"/>
        <v>0</v>
      </c>
      <c r="P294" s="10">
        <f t="shared" si="49"/>
        <v>0</v>
      </c>
      <c r="Q294" s="11">
        <f t="shared" si="50"/>
        <v>0</v>
      </c>
      <c r="S294" s="92">
        <f t="shared" si="43"/>
      </c>
      <c r="V294" s="104"/>
    </row>
    <row r="295" spans="2:22" ht="12.75">
      <c r="B295" s="9">
        <v>287</v>
      </c>
      <c r="C295" s="9" t="s">
        <v>37</v>
      </c>
      <c r="D295" s="10">
        <f t="shared" si="44"/>
        <v>0</v>
      </c>
      <c r="E295" s="10">
        <f t="shared" si="45"/>
        <v>0</v>
      </c>
      <c r="F295" s="10">
        <f t="shared" si="46"/>
        <v>0</v>
      </c>
      <c r="G295" s="11">
        <f t="shared" si="51"/>
        <v>0</v>
      </c>
      <c r="H295" s="9"/>
      <c r="I295" s="92">
        <f t="shared" si="42"/>
      </c>
      <c r="L295" s="9">
        <v>287</v>
      </c>
      <c r="M295" s="9" t="s">
        <v>37</v>
      </c>
      <c r="N295" s="10">
        <f t="shared" si="47"/>
        <v>0</v>
      </c>
      <c r="O295" s="10">
        <f t="shared" si="48"/>
        <v>0</v>
      </c>
      <c r="P295" s="10">
        <f t="shared" si="49"/>
        <v>0</v>
      </c>
      <c r="Q295" s="11">
        <f t="shared" si="50"/>
        <v>0</v>
      </c>
      <c r="S295" s="92">
        <f t="shared" si="43"/>
      </c>
      <c r="V295" s="104"/>
    </row>
    <row r="296" spans="2:22" ht="12.75">
      <c r="B296" s="9">
        <v>288</v>
      </c>
      <c r="C296" s="9" t="s">
        <v>38</v>
      </c>
      <c r="D296" s="10">
        <f t="shared" si="44"/>
        <v>0</v>
      </c>
      <c r="E296" s="10">
        <f t="shared" si="45"/>
        <v>0</v>
      </c>
      <c r="F296" s="10">
        <f t="shared" si="46"/>
        <v>0</v>
      </c>
      <c r="G296" s="11">
        <f t="shared" si="51"/>
        <v>0</v>
      </c>
      <c r="H296" s="9"/>
      <c r="I296" s="92">
        <f t="shared" si="42"/>
      </c>
      <c r="L296" s="9">
        <v>288</v>
      </c>
      <c r="M296" s="9" t="s">
        <v>38</v>
      </c>
      <c r="N296" s="10">
        <f t="shared" si="47"/>
        <v>0</v>
      </c>
      <c r="O296" s="10">
        <f t="shared" si="48"/>
        <v>0</v>
      </c>
      <c r="P296" s="10">
        <f t="shared" si="49"/>
        <v>0</v>
      </c>
      <c r="Q296" s="11">
        <f t="shared" si="50"/>
        <v>0</v>
      </c>
      <c r="S296" s="92">
        <f t="shared" si="43"/>
      </c>
      <c r="V296" s="104"/>
    </row>
    <row r="297" spans="2:22" ht="12.75">
      <c r="B297" s="84">
        <v>289</v>
      </c>
      <c r="C297" s="84" t="s">
        <v>27</v>
      </c>
      <c r="D297" s="85">
        <f t="shared" si="44"/>
        <v>0</v>
      </c>
      <c r="E297" s="85">
        <f t="shared" si="45"/>
        <v>0</v>
      </c>
      <c r="F297" s="85">
        <f t="shared" si="46"/>
        <v>0</v>
      </c>
      <c r="G297" s="86">
        <f t="shared" si="51"/>
        <v>0</v>
      </c>
      <c r="H297" s="68">
        <f>IF((G296-F297)&gt;Energie!S34,Energie!S34,(G296-F297))</f>
        <v>0</v>
      </c>
      <c r="I297" s="92">
        <f t="shared" si="42"/>
      </c>
      <c r="K297">
        <v>24</v>
      </c>
      <c r="L297" s="84">
        <v>289</v>
      </c>
      <c r="M297" s="84" t="s">
        <v>27</v>
      </c>
      <c r="N297" s="85">
        <f t="shared" si="47"/>
        <v>0</v>
      </c>
      <c r="O297" s="85">
        <f t="shared" si="48"/>
        <v>0</v>
      </c>
      <c r="P297" s="85">
        <f t="shared" si="49"/>
        <v>0</v>
      </c>
      <c r="Q297" s="86">
        <f t="shared" si="50"/>
        <v>0</v>
      </c>
      <c r="S297" s="92">
        <f t="shared" si="43"/>
      </c>
      <c r="T297" s="128">
        <f>SUM(N285:N296)</f>
        <v>0</v>
      </c>
      <c r="U297" s="128">
        <f>(SUM(N285:N296)+U285)</f>
        <v>505702.2279074476</v>
      </c>
      <c r="V297" s="104"/>
    </row>
    <row r="298" spans="2:22" ht="12.75">
      <c r="B298" s="9">
        <v>290</v>
      </c>
      <c r="C298" s="9" t="s">
        <v>28</v>
      </c>
      <c r="D298" s="10">
        <f t="shared" si="44"/>
        <v>0</v>
      </c>
      <c r="E298" s="10">
        <f t="shared" si="45"/>
        <v>0</v>
      </c>
      <c r="F298" s="10">
        <f t="shared" si="46"/>
        <v>0</v>
      </c>
      <c r="G298" s="11">
        <f t="shared" si="51"/>
        <v>0</v>
      </c>
      <c r="H298" s="9"/>
      <c r="I298" s="92">
        <f t="shared" si="42"/>
      </c>
      <c r="L298" s="9">
        <v>290</v>
      </c>
      <c r="M298" s="9" t="s">
        <v>28</v>
      </c>
      <c r="N298" s="10">
        <f t="shared" si="47"/>
        <v>0</v>
      </c>
      <c r="O298" s="10">
        <f t="shared" si="48"/>
        <v>0</v>
      </c>
      <c r="P298" s="10">
        <f t="shared" si="49"/>
        <v>0</v>
      </c>
      <c r="Q298" s="11">
        <f t="shared" si="50"/>
        <v>0</v>
      </c>
      <c r="S298" s="92">
        <f t="shared" si="43"/>
      </c>
      <c r="V298" s="104"/>
    </row>
    <row r="299" spans="2:22" ht="12.75">
      <c r="B299" s="9">
        <v>291</v>
      </c>
      <c r="C299" s="9" t="s">
        <v>29</v>
      </c>
      <c r="D299" s="10">
        <f t="shared" si="44"/>
        <v>0</v>
      </c>
      <c r="E299" s="10">
        <f t="shared" si="45"/>
        <v>0</v>
      </c>
      <c r="F299" s="10">
        <f t="shared" si="46"/>
        <v>0</v>
      </c>
      <c r="G299" s="11">
        <f t="shared" si="51"/>
        <v>0</v>
      </c>
      <c r="H299" s="9"/>
      <c r="I299" s="92">
        <f t="shared" si="42"/>
      </c>
      <c r="L299" s="9">
        <v>291</v>
      </c>
      <c r="M299" s="9" t="s">
        <v>29</v>
      </c>
      <c r="N299" s="10">
        <f t="shared" si="47"/>
        <v>0</v>
      </c>
      <c r="O299" s="10">
        <f t="shared" si="48"/>
        <v>0</v>
      </c>
      <c r="P299" s="10">
        <f t="shared" si="49"/>
        <v>0</v>
      </c>
      <c r="Q299" s="11">
        <f t="shared" si="50"/>
        <v>0</v>
      </c>
      <c r="S299" s="92">
        <f t="shared" si="43"/>
      </c>
      <c r="V299" s="104"/>
    </row>
    <row r="300" spans="2:22" ht="12.75">
      <c r="B300" s="9">
        <v>292</v>
      </c>
      <c r="C300" s="9" t="s">
        <v>30</v>
      </c>
      <c r="D300" s="10">
        <f t="shared" si="44"/>
        <v>0</v>
      </c>
      <c r="E300" s="10">
        <f t="shared" si="45"/>
        <v>0</v>
      </c>
      <c r="F300" s="10">
        <f t="shared" si="46"/>
        <v>0</v>
      </c>
      <c r="G300" s="11">
        <f t="shared" si="51"/>
        <v>0</v>
      </c>
      <c r="H300" s="9"/>
      <c r="I300" s="92">
        <f t="shared" si="42"/>
      </c>
      <c r="L300" s="9">
        <v>292</v>
      </c>
      <c r="M300" s="9" t="s">
        <v>30</v>
      </c>
      <c r="N300" s="10">
        <f t="shared" si="47"/>
        <v>0</v>
      </c>
      <c r="O300" s="10">
        <f t="shared" si="48"/>
        <v>0</v>
      </c>
      <c r="P300" s="10">
        <f t="shared" si="49"/>
        <v>0</v>
      </c>
      <c r="Q300" s="11">
        <f t="shared" si="50"/>
        <v>0</v>
      </c>
      <c r="S300" s="92">
        <f t="shared" si="43"/>
      </c>
      <c r="V300" s="104"/>
    </row>
    <row r="301" spans="2:22" ht="12.75">
      <c r="B301" s="9">
        <v>293</v>
      </c>
      <c r="C301" s="9" t="s">
        <v>31</v>
      </c>
      <c r="D301" s="10">
        <f t="shared" si="44"/>
        <v>0</v>
      </c>
      <c r="E301" s="10">
        <f t="shared" si="45"/>
        <v>0</v>
      </c>
      <c r="F301" s="10">
        <f t="shared" si="46"/>
        <v>0</v>
      </c>
      <c r="G301" s="11">
        <f t="shared" si="51"/>
        <v>0</v>
      </c>
      <c r="H301" s="9"/>
      <c r="I301" s="92">
        <f aca="true" t="shared" si="52" ref="I301:I364">IF(E301&gt;0,B301,"")</f>
      </c>
      <c r="L301" s="9">
        <v>293</v>
      </c>
      <c r="M301" s="9" t="s">
        <v>31</v>
      </c>
      <c r="N301" s="10">
        <f t="shared" si="47"/>
        <v>0</v>
      </c>
      <c r="O301" s="10">
        <f t="shared" si="48"/>
        <v>0</v>
      </c>
      <c r="P301" s="10">
        <f t="shared" si="49"/>
        <v>0</v>
      </c>
      <c r="Q301" s="11">
        <f t="shared" si="50"/>
        <v>0</v>
      </c>
      <c r="S301" s="92">
        <f t="shared" si="43"/>
      </c>
      <c r="V301" s="104"/>
    </row>
    <row r="302" spans="2:22" ht="12.75">
      <c r="B302" s="9">
        <v>294</v>
      </c>
      <c r="C302" s="9" t="s">
        <v>32</v>
      </c>
      <c r="D302" s="10">
        <f t="shared" si="44"/>
        <v>0</v>
      </c>
      <c r="E302" s="10">
        <f t="shared" si="45"/>
        <v>0</v>
      </c>
      <c r="F302" s="10">
        <f t="shared" si="46"/>
        <v>0</v>
      </c>
      <c r="G302" s="11">
        <f t="shared" si="51"/>
        <v>0</v>
      </c>
      <c r="H302" s="9"/>
      <c r="I302" s="92">
        <f t="shared" si="52"/>
      </c>
      <c r="L302" s="9">
        <v>294</v>
      </c>
      <c r="M302" s="9" t="s">
        <v>32</v>
      </c>
      <c r="N302" s="10">
        <f t="shared" si="47"/>
        <v>0</v>
      </c>
      <c r="O302" s="10">
        <f t="shared" si="48"/>
        <v>0</v>
      </c>
      <c r="P302" s="10">
        <f t="shared" si="49"/>
        <v>0</v>
      </c>
      <c r="Q302" s="11">
        <f t="shared" si="50"/>
        <v>0</v>
      </c>
      <c r="S302" s="92">
        <f t="shared" si="43"/>
      </c>
      <c r="V302" s="104"/>
    </row>
    <row r="303" spans="2:22" ht="12.75">
      <c r="B303" s="9">
        <v>295</v>
      </c>
      <c r="C303" s="9" t="s">
        <v>33</v>
      </c>
      <c r="D303" s="10">
        <f t="shared" si="44"/>
        <v>0</v>
      </c>
      <c r="E303" s="10">
        <f t="shared" si="45"/>
        <v>0</v>
      </c>
      <c r="F303" s="10">
        <f t="shared" si="46"/>
        <v>0</v>
      </c>
      <c r="G303" s="11">
        <f t="shared" si="51"/>
        <v>0</v>
      </c>
      <c r="H303" s="9"/>
      <c r="I303" s="92">
        <f t="shared" si="52"/>
      </c>
      <c r="L303" s="9">
        <v>295</v>
      </c>
      <c r="M303" s="9" t="s">
        <v>33</v>
      </c>
      <c r="N303" s="10">
        <f t="shared" si="47"/>
        <v>0</v>
      </c>
      <c r="O303" s="10">
        <f t="shared" si="48"/>
        <v>0</v>
      </c>
      <c r="P303" s="10">
        <f t="shared" si="49"/>
        <v>0</v>
      </c>
      <c r="Q303" s="11">
        <f t="shared" si="50"/>
        <v>0</v>
      </c>
      <c r="S303" s="92">
        <f t="shared" si="43"/>
      </c>
      <c r="V303" s="104"/>
    </row>
    <row r="304" spans="2:22" ht="12.75">
      <c r="B304" s="9">
        <v>296</v>
      </c>
      <c r="C304" s="9" t="s">
        <v>34</v>
      </c>
      <c r="D304" s="10">
        <f t="shared" si="44"/>
        <v>0</v>
      </c>
      <c r="E304" s="10">
        <f t="shared" si="45"/>
        <v>0</v>
      </c>
      <c r="F304" s="10">
        <f t="shared" si="46"/>
        <v>0</v>
      </c>
      <c r="G304" s="11">
        <f t="shared" si="51"/>
        <v>0</v>
      </c>
      <c r="H304" s="9"/>
      <c r="I304" s="92">
        <f t="shared" si="52"/>
      </c>
      <c r="L304" s="9">
        <v>296</v>
      </c>
      <c r="M304" s="9" t="s">
        <v>34</v>
      </c>
      <c r="N304" s="10">
        <f t="shared" si="47"/>
        <v>0</v>
      </c>
      <c r="O304" s="10">
        <f t="shared" si="48"/>
        <v>0</v>
      </c>
      <c r="P304" s="10">
        <f t="shared" si="49"/>
        <v>0</v>
      </c>
      <c r="Q304" s="11">
        <f t="shared" si="50"/>
        <v>0</v>
      </c>
      <c r="S304" s="92">
        <f t="shared" si="43"/>
      </c>
      <c r="V304" s="104"/>
    </row>
    <row r="305" spans="2:22" ht="12.75">
      <c r="B305" s="9">
        <v>297</v>
      </c>
      <c r="C305" s="9" t="s">
        <v>35</v>
      </c>
      <c r="D305" s="10">
        <f t="shared" si="44"/>
        <v>0</v>
      </c>
      <c r="E305" s="10">
        <f t="shared" si="45"/>
        <v>0</v>
      </c>
      <c r="F305" s="10">
        <f t="shared" si="46"/>
        <v>0</v>
      </c>
      <c r="G305" s="11">
        <f t="shared" si="51"/>
        <v>0</v>
      </c>
      <c r="H305" s="9"/>
      <c r="I305" s="92">
        <f t="shared" si="52"/>
      </c>
      <c r="L305" s="9">
        <v>297</v>
      </c>
      <c r="M305" s="9" t="s">
        <v>35</v>
      </c>
      <c r="N305" s="10">
        <f t="shared" si="47"/>
        <v>0</v>
      </c>
      <c r="O305" s="10">
        <f t="shared" si="48"/>
        <v>0</v>
      </c>
      <c r="P305" s="10">
        <f t="shared" si="49"/>
        <v>0</v>
      </c>
      <c r="Q305" s="11">
        <f t="shared" si="50"/>
        <v>0</v>
      </c>
      <c r="S305" s="92">
        <f t="shared" si="43"/>
      </c>
      <c r="V305" s="104"/>
    </row>
    <row r="306" spans="2:22" ht="12.75">
      <c r="B306" s="9">
        <v>298</v>
      </c>
      <c r="C306" s="9" t="s">
        <v>36</v>
      </c>
      <c r="D306" s="10">
        <f t="shared" si="44"/>
        <v>0</v>
      </c>
      <c r="E306" s="10">
        <f t="shared" si="45"/>
        <v>0</v>
      </c>
      <c r="F306" s="10">
        <f t="shared" si="46"/>
        <v>0</v>
      </c>
      <c r="G306" s="11">
        <f t="shared" si="51"/>
        <v>0</v>
      </c>
      <c r="H306" s="9"/>
      <c r="I306" s="92">
        <f t="shared" si="52"/>
      </c>
      <c r="L306" s="9">
        <v>298</v>
      </c>
      <c r="M306" s="9" t="s">
        <v>36</v>
      </c>
      <c r="N306" s="10">
        <f t="shared" si="47"/>
        <v>0</v>
      </c>
      <c r="O306" s="10">
        <f t="shared" si="48"/>
        <v>0</v>
      </c>
      <c r="P306" s="10">
        <f t="shared" si="49"/>
        <v>0</v>
      </c>
      <c r="Q306" s="11">
        <f t="shared" si="50"/>
        <v>0</v>
      </c>
      <c r="S306" s="92">
        <f t="shared" si="43"/>
      </c>
      <c r="V306" s="104"/>
    </row>
    <row r="307" spans="2:22" ht="12.75">
      <c r="B307" s="9">
        <v>299</v>
      </c>
      <c r="C307" s="9" t="s">
        <v>37</v>
      </c>
      <c r="D307" s="10">
        <f t="shared" si="44"/>
        <v>0</v>
      </c>
      <c r="E307" s="10">
        <f t="shared" si="45"/>
        <v>0</v>
      </c>
      <c r="F307" s="10">
        <f t="shared" si="46"/>
        <v>0</v>
      </c>
      <c r="G307" s="11">
        <f t="shared" si="51"/>
        <v>0</v>
      </c>
      <c r="H307" s="9"/>
      <c r="I307" s="92">
        <f t="shared" si="52"/>
      </c>
      <c r="L307" s="9">
        <v>299</v>
      </c>
      <c r="M307" s="9" t="s">
        <v>37</v>
      </c>
      <c r="N307" s="10">
        <f t="shared" si="47"/>
        <v>0</v>
      </c>
      <c r="O307" s="10">
        <f t="shared" si="48"/>
        <v>0</v>
      </c>
      <c r="P307" s="10">
        <f t="shared" si="49"/>
        <v>0</v>
      </c>
      <c r="Q307" s="11">
        <f t="shared" si="50"/>
        <v>0</v>
      </c>
      <c r="S307" s="92">
        <f t="shared" si="43"/>
      </c>
      <c r="V307" s="104"/>
    </row>
    <row r="308" spans="2:22" ht="12.75">
      <c r="B308" s="9">
        <v>300</v>
      </c>
      <c r="C308" s="9" t="s">
        <v>38</v>
      </c>
      <c r="D308" s="10">
        <f t="shared" si="44"/>
        <v>0</v>
      </c>
      <c r="E308" s="10">
        <f t="shared" si="45"/>
        <v>0</v>
      </c>
      <c r="F308" s="10">
        <f t="shared" si="46"/>
        <v>0</v>
      </c>
      <c r="G308" s="11">
        <f t="shared" si="51"/>
        <v>0</v>
      </c>
      <c r="H308" s="9"/>
      <c r="I308" s="92">
        <f t="shared" si="52"/>
      </c>
      <c r="L308" s="9">
        <v>300</v>
      </c>
      <c r="M308" s="9" t="s">
        <v>38</v>
      </c>
      <c r="N308" s="10">
        <f t="shared" si="47"/>
        <v>0</v>
      </c>
      <c r="O308" s="10">
        <f t="shared" si="48"/>
        <v>0</v>
      </c>
      <c r="P308" s="10">
        <f t="shared" si="49"/>
        <v>0</v>
      </c>
      <c r="Q308" s="11">
        <f t="shared" si="50"/>
        <v>0</v>
      </c>
      <c r="S308" s="92">
        <f t="shared" si="43"/>
      </c>
      <c r="V308" s="104"/>
    </row>
    <row r="309" spans="2:22" ht="12.75">
      <c r="B309" s="84">
        <v>301</v>
      </c>
      <c r="C309" s="84" t="s">
        <v>27</v>
      </c>
      <c r="D309" s="85">
        <f t="shared" si="44"/>
        <v>0</v>
      </c>
      <c r="E309" s="85">
        <f t="shared" si="45"/>
        <v>0</v>
      </c>
      <c r="F309" s="85">
        <f t="shared" si="46"/>
        <v>0</v>
      </c>
      <c r="G309" s="86">
        <f t="shared" si="51"/>
        <v>0</v>
      </c>
      <c r="H309" s="68">
        <f>IF((G308-F309)&gt;Energie!S35,Energie!S35,(G308-F309))</f>
        <v>0</v>
      </c>
      <c r="I309" s="92">
        <f t="shared" si="52"/>
      </c>
      <c r="K309">
        <v>25</v>
      </c>
      <c r="L309" s="84">
        <v>301</v>
      </c>
      <c r="M309" s="84" t="s">
        <v>27</v>
      </c>
      <c r="N309" s="85">
        <f t="shared" si="47"/>
        <v>0</v>
      </c>
      <c r="O309" s="85">
        <f t="shared" si="48"/>
        <v>0</v>
      </c>
      <c r="P309" s="85">
        <f t="shared" si="49"/>
        <v>0</v>
      </c>
      <c r="Q309" s="86">
        <f t="shared" si="50"/>
        <v>0</v>
      </c>
      <c r="S309" s="92">
        <f t="shared" si="43"/>
      </c>
      <c r="T309" s="128">
        <f>SUM(N297:N308)</f>
        <v>0</v>
      </c>
      <c r="U309" s="128">
        <f>(SUM(N297:N308)+U297)</f>
        <v>505702.2279074476</v>
      </c>
      <c r="V309" s="104"/>
    </row>
    <row r="310" spans="2:22" ht="12.75">
      <c r="B310" s="9">
        <v>302</v>
      </c>
      <c r="C310" s="9" t="s">
        <v>28</v>
      </c>
      <c r="D310" s="10">
        <f t="shared" si="44"/>
        <v>0</v>
      </c>
      <c r="E310" s="10">
        <f t="shared" si="45"/>
        <v>0</v>
      </c>
      <c r="F310" s="10">
        <f t="shared" si="46"/>
        <v>0</v>
      </c>
      <c r="G310" s="11">
        <f t="shared" si="51"/>
        <v>0</v>
      </c>
      <c r="H310" s="9"/>
      <c r="I310" s="92">
        <f t="shared" si="52"/>
      </c>
      <c r="L310" s="9">
        <v>302</v>
      </c>
      <c r="M310" s="9" t="s">
        <v>28</v>
      </c>
      <c r="N310" s="10">
        <f t="shared" si="47"/>
        <v>0</v>
      </c>
      <c r="O310" s="10">
        <f t="shared" si="48"/>
        <v>0</v>
      </c>
      <c r="P310" s="10">
        <f t="shared" si="49"/>
        <v>0</v>
      </c>
      <c r="Q310" s="11">
        <f t="shared" si="50"/>
        <v>0</v>
      </c>
      <c r="S310" s="92">
        <f t="shared" si="43"/>
      </c>
      <c r="V310" s="104"/>
    </row>
    <row r="311" spans="2:22" ht="12.75">
      <c r="B311" s="9">
        <v>303</v>
      </c>
      <c r="C311" s="9" t="s">
        <v>29</v>
      </c>
      <c r="D311" s="10">
        <f t="shared" si="44"/>
        <v>0</v>
      </c>
      <c r="E311" s="10">
        <f t="shared" si="45"/>
        <v>0</v>
      </c>
      <c r="F311" s="10">
        <f t="shared" si="46"/>
        <v>0</v>
      </c>
      <c r="G311" s="11">
        <f t="shared" si="51"/>
        <v>0</v>
      </c>
      <c r="H311" s="9"/>
      <c r="I311" s="92">
        <f t="shared" si="52"/>
      </c>
      <c r="L311" s="9">
        <v>303</v>
      </c>
      <c r="M311" s="9" t="s">
        <v>29</v>
      </c>
      <c r="N311" s="10">
        <f t="shared" si="47"/>
        <v>0</v>
      </c>
      <c r="O311" s="10">
        <f t="shared" si="48"/>
        <v>0</v>
      </c>
      <c r="P311" s="10">
        <f t="shared" si="49"/>
        <v>0</v>
      </c>
      <c r="Q311" s="11">
        <f t="shared" si="50"/>
        <v>0</v>
      </c>
      <c r="S311" s="92">
        <f t="shared" si="43"/>
      </c>
      <c r="V311" s="104"/>
    </row>
    <row r="312" spans="2:22" ht="12.75">
      <c r="B312" s="9">
        <v>304</v>
      </c>
      <c r="C312" s="9" t="s">
        <v>30</v>
      </c>
      <c r="D312" s="10">
        <f t="shared" si="44"/>
        <v>0</v>
      </c>
      <c r="E312" s="10">
        <f t="shared" si="45"/>
        <v>0</v>
      </c>
      <c r="F312" s="10">
        <f t="shared" si="46"/>
        <v>0</v>
      </c>
      <c r="G312" s="11">
        <f t="shared" si="51"/>
        <v>0</v>
      </c>
      <c r="H312" s="9"/>
      <c r="I312" s="92">
        <f t="shared" si="52"/>
      </c>
      <c r="L312" s="9">
        <v>304</v>
      </c>
      <c r="M312" s="9" t="s">
        <v>30</v>
      </c>
      <c r="N312" s="10">
        <f t="shared" si="47"/>
        <v>0</v>
      </c>
      <c r="O312" s="10">
        <f t="shared" si="48"/>
        <v>0</v>
      </c>
      <c r="P312" s="10">
        <f t="shared" si="49"/>
        <v>0</v>
      </c>
      <c r="Q312" s="11">
        <f t="shared" si="50"/>
        <v>0</v>
      </c>
      <c r="S312" s="92">
        <f t="shared" si="43"/>
      </c>
      <c r="V312" s="104"/>
    </row>
    <row r="313" spans="2:22" ht="12.75">
      <c r="B313" s="9">
        <v>305</v>
      </c>
      <c r="C313" s="9" t="s">
        <v>31</v>
      </c>
      <c r="D313" s="10">
        <f t="shared" si="44"/>
        <v>0</v>
      </c>
      <c r="E313" s="10">
        <f t="shared" si="45"/>
        <v>0</v>
      </c>
      <c r="F313" s="10">
        <f t="shared" si="46"/>
        <v>0</v>
      </c>
      <c r="G313" s="11">
        <f t="shared" si="51"/>
        <v>0</v>
      </c>
      <c r="H313" s="9"/>
      <c r="I313" s="92">
        <f t="shared" si="52"/>
      </c>
      <c r="L313" s="9">
        <v>305</v>
      </c>
      <c r="M313" s="9" t="s">
        <v>31</v>
      </c>
      <c r="N313" s="10">
        <f t="shared" si="47"/>
        <v>0</v>
      </c>
      <c r="O313" s="10">
        <f t="shared" si="48"/>
        <v>0</v>
      </c>
      <c r="P313" s="10">
        <f t="shared" si="49"/>
        <v>0</v>
      </c>
      <c r="Q313" s="11">
        <f t="shared" si="50"/>
        <v>0</v>
      </c>
      <c r="S313" s="92">
        <f t="shared" si="43"/>
      </c>
      <c r="V313" s="104"/>
    </row>
    <row r="314" spans="2:22" ht="12.75">
      <c r="B314" s="9">
        <v>306</v>
      </c>
      <c r="C314" s="9" t="s">
        <v>32</v>
      </c>
      <c r="D314" s="10">
        <f t="shared" si="44"/>
        <v>0</v>
      </c>
      <c r="E314" s="10">
        <f t="shared" si="45"/>
        <v>0</v>
      </c>
      <c r="F314" s="10">
        <f t="shared" si="46"/>
        <v>0</v>
      </c>
      <c r="G314" s="11">
        <f t="shared" si="51"/>
        <v>0</v>
      </c>
      <c r="H314" s="9"/>
      <c r="I314" s="92">
        <f t="shared" si="52"/>
      </c>
      <c r="L314" s="9">
        <v>306</v>
      </c>
      <c r="M314" s="9" t="s">
        <v>32</v>
      </c>
      <c r="N314" s="10">
        <f t="shared" si="47"/>
        <v>0</v>
      </c>
      <c r="O314" s="10">
        <f t="shared" si="48"/>
        <v>0</v>
      </c>
      <c r="P314" s="10">
        <f t="shared" si="49"/>
        <v>0</v>
      </c>
      <c r="Q314" s="11">
        <f t="shared" si="50"/>
        <v>0</v>
      </c>
      <c r="S314" s="92">
        <f t="shared" si="43"/>
      </c>
      <c r="V314" s="104"/>
    </row>
    <row r="315" spans="2:22" ht="12.75">
      <c r="B315" s="9">
        <v>307</v>
      </c>
      <c r="C315" s="9" t="s">
        <v>33</v>
      </c>
      <c r="D315" s="10">
        <f t="shared" si="44"/>
        <v>0</v>
      </c>
      <c r="E315" s="10">
        <f t="shared" si="45"/>
        <v>0</v>
      </c>
      <c r="F315" s="10">
        <f t="shared" si="46"/>
        <v>0</v>
      </c>
      <c r="G315" s="11">
        <f t="shared" si="51"/>
        <v>0</v>
      </c>
      <c r="H315" s="9"/>
      <c r="I315" s="92">
        <f t="shared" si="52"/>
      </c>
      <c r="L315" s="9">
        <v>307</v>
      </c>
      <c r="M315" s="9" t="s">
        <v>33</v>
      </c>
      <c r="N315" s="10">
        <f t="shared" si="47"/>
        <v>0</v>
      </c>
      <c r="O315" s="10">
        <f t="shared" si="48"/>
        <v>0</v>
      </c>
      <c r="P315" s="10">
        <f t="shared" si="49"/>
        <v>0</v>
      </c>
      <c r="Q315" s="11">
        <f t="shared" si="50"/>
        <v>0</v>
      </c>
      <c r="S315" s="92">
        <f t="shared" si="43"/>
      </c>
      <c r="V315" s="104"/>
    </row>
    <row r="316" spans="2:22" ht="12.75">
      <c r="B316" s="9">
        <v>308</v>
      </c>
      <c r="C316" s="9" t="s">
        <v>34</v>
      </c>
      <c r="D316" s="10">
        <f t="shared" si="44"/>
        <v>0</v>
      </c>
      <c r="E316" s="10">
        <f t="shared" si="45"/>
        <v>0</v>
      </c>
      <c r="F316" s="10">
        <f t="shared" si="46"/>
        <v>0</v>
      </c>
      <c r="G316" s="11">
        <f t="shared" si="51"/>
        <v>0</v>
      </c>
      <c r="H316" s="9"/>
      <c r="I316" s="92">
        <f t="shared" si="52"/>
      </c>
      <c r="L316" s="9">
        <v>308</v>
      </c>
      <c r="M316" s="9" t="s">
        <v>34</v>
      </c>
      <c r="N316" s="10">
        <f t="shared" si="47"/>
        <v>0</v>
      </c>
      <c r="O316" s="10">
        <f t="shared" si="48"/>
        <v>0</v>
      </c>
      <c r="P316" s="10">
        <f t="shared" si="49"/>
        <v>0</v>
      </c>
      <c r="Q316" s="11">
        <f t="shared" si="50"/>
        <v>0</v>
      </c>
      <c r="S316" s="92">
        <f t="shared" si="43"/>
      </c>
      <c r="V316" s="104"/>
    </row>
    <row r="317" spans="2:22" ht="12.75">
      <c r="B317" s="9">
        <v>309</v>
      </c>
      <c r="C317" s="9" t="s">
        <v>35</v>
      </c>
      <c r="D317" s="10">
        <f t="shared" si="44"/>
        <v>0</v>
      </c>
      <c r="E317" s="10">
        <f t="shared" si="45"/>
        <v>0</v>
      </c>
      <c r="F317" s="10">
        <f t="shared" si="46"/>
        <v>0</v>
      </c>
      <c r="G317" s="11">
        <f t="shared" si="51"/>
        <v>0</v>
      </c>
      <c r="H317" s="9"/>
      <c r="I317" s="92">
        <f t="shared" si="52"/>
      </c>
      <c r="L317" s="9">
        <v>309</v>
      </c>
      <c r="M317" s="9" t="s">
        <v>35</v>
      </c>
      <c r="N317" s="10">
        <f t="shared" si="47"/>
        <v>0</v>
      </c>
      <c r="O317" s="10">
        <f t="shared" si="48"/>
        <v>0</v>
      </c>
      <c r="P317" s="10">
        <f t="shared" si="49"/>
        <v>0</v>
      </c>
      <c r="Q317" s="11">
        <f t="shared" si="50"/>
        <v>0</v>
      </c>
      <c r="S317" s="92">
        <f t="shared" si="43"/>
      </c>
      <c r="V317" s="104"/>
    </row>
    <row r="318" spans="2:22" ht="12.75">
      <c r="B318" s="9">
        <v>310</v>
      </c>
      <c r="C318" s="9" t="s">
        <v>36</v>
      </c>
      <c r="D318" s="10">
        <f t="shared" si="44"/>
        <v>0</v>
      </c>
      <c r="E318" s="10">
        <f t="shared" si="45"/>
        <v>0</v>
      </c>
      <c r="F318" s="10">
        <f t="shared" si="46"/>
        <v>0</v>
      </c>
      <c r="G318" s="11">
        <f t="shared" si="51"/>
        <v>0</v>
      </c>
      <c r="H318" s="9"/>
      <c r="I318" s="92">
        <f t="shared" si="52"/>
      </c>
      <c r="L318" s="9">
        <v>310</v>
      </c>
      <c r="M318" s="9" t="s">
        <v>36</v>
      </c>
      <c r="N318" s="10">
        <f t="shared" si="47"/>
        <v>0</v>
      </c>
      <c r="O318" s="10">
        <f t="shared" si="48"/>
        <v>0</v>
      </c>
      <c r="P318" s="10">
        <f t="shared" si="49"/>
        <v>0</v>
      </c>
      <c r="Q318" s="11">
        <f t="shared" si="50"/>
        <v>0</v>
      </c>
      <c r="S318" s="92">
        <f t="shared" si="43"/>
      </c>
      <c r="V318" s="104"/>
    </row>
    <row r="319" spans="2:22" ht="12.75">
      <c r="B319" s="9">
        <v>311</v>
      </c>
      <c r="C319" s="9" t="s">
        <v>37</v>
      </c>
      <c r="D319" s="10">
        <f t="shared" si="44"/>
        <v>0</v>
      </c>
      <c r="E319" s="10">
        <f t="shared" si="45"/>
        <v>0</v>
      </c>
      <c r="F319" s="10">
        <f t="shared" si="46"/>
        <v>0</v>
      </c>
      <c r="G319" s="11">
        <f t="shared" si="51"/>
        <v>0</v>
      </c>
      <c r="H319" s="9"/>
      <c r="I319" s="92">
        <f t="shared" si="52"/>
      </c>
      <c r="L319" s="9">
        <v>311</v>
      </c>
      <c r="M319" s="9" t="s">
        <v>37</v>
      </c>
      <c r="N319" s="10">
        <f t="shared" si="47"/>
        <v>0</v>
      </c>
      <c r="O319" s="10">
        <f t="shared" si="48"/>
        <v>0</v>
      </c>
      <c r="P319" s="10">
        <f t="shared" si="49"/>
        <v>0</v>
      </c>
      <c r="Q319" s="11">
        <f t="shared" si="50"/>
        <v>0</v>
      </c>
      <c r="S319" s="92">
        <f t="shared" si="43"/>
      </c>
      <c r="V319" s="104"/>
    </row>
    <row r="320" spans="2:22" ht="12.75">
      <c r="B320" s="9">
        <v>312</v>
      </c>
      <c r="C320" s="9" t="s">
        <v>38</v>
      </c>
      <c r="D320" s="10">
        <f t="shared" si="44"/>
        <v>0</v>
      </c>
      <c r="E320" s="10">
        <f t="shared" si="45"/>
        <v>0</v>
      </c>
      <c r="F320" s="10">
        <f t="shared" si="46"/>
        <v>0</v>
      </c>
      <c r="G320" s="11">
        <f t="shared" si="51"/>
        <v>0</v>
      </c>
      <c r="H320" s="9"/>
      <c r="I320" s="92">
        <f t="shared" si="52"/>
      </c>
      <c r="L320" s="9">
        <v>312</v>
      </c>
      <c r="M320" s="9" t="s">
        <v>38</v>
      </c>
      <c r="N320" s="10">
        <f t="shared" si="47"/>
        <v>0</v>
      </c>
      <c r="O320" s="10">
        <f t="shared" si="48"/>
        <v>0</v>
      </c>
      <c r="P320" s="10">
        <f t="shared" si="49"/>
        <v>0</v>
      </c>
      <c r="Q320" s="11">
        <f t="shared" si="50"/>
        <v>0</v>
      </c>
      <c r="S320" s="92">
        <f t="shared" si="43"/>
      </c>
      <c r="V320" s="104"/>
    </row>
    <row r="321" spans="2:22" ht="12.75">
      <c r="B321" s="84">
        <v>313</v>
      </c>
      <c r="C321" s="84" t="s">
        <v>27</v>
      </c>
      <c r="D321" s="85">
        <f t="shared" si="44"/>
        <v>0</v>
      </c>
      <c r="E321" s="85">
        <f t="shared" si="45"/>
        <v>0</v>
      </c>
      <c r="F321" s="85">
        <f t="shared" si="46"/>
        <v>0</v>
      </c>
      <c r="G321" s="86">
        <f t="shared" si="51"/>
        <v>0</v>
      </c>
      <c r="H321" s="68">
        <f>IF((G320-F321)&gt;Energie!S36,Energie!S36,(G320-F321))</f>
        <v>0</v>
      </c>
      <c r="I321" s="92">
        <f t="shared" si="52"/>
      </c>
      <c r="K321">
        <v>26</v>
      </c>
      <c r="L321" s="84">
        <v>313</v>
      </c>
      <c r="M321" s="84" t="s">
        <v>27</v>
      </c>
      <c r="N321" s="85">
        <f t="shared" si="47"/>
        <v>0</v>
      </c>
      <c r="O321" s="85">
        <f t="shared" si="48"/>
        <v>0</v>
      </c>
      <c r="P321" s="85">
        <f t="shared" si="49"/>
        <v>0</v>
      </c>
      <c r="Q321" s="86">
        <f t="shared" si="50"/>
        <v>0</v>
      </c>
      <c r="S321" s="92">
        <f t="shared" si="43"/>
      </c>
      <c r="T321" s="128">
        <f>SUM(N309:N320)</f>
        <v>0</v>
      </c>
      <c r="U321" s="128">
        <f>(SUM(N309:N320)+U309)</f>
        <v>505702.2279074476</v>
      </c>
      <c r="V321" s="104"/>
    </row>
    <row r="322" spans="2:22" ht="12.75">
      <c r="B322" s="9">
        <v>314</v>
      </c>
      <c r="C322" s="9" t="s">
        <v>28</v>
      </c>
      <c r="D322" s="10">
        <f t="shared" si="44"/>
        <v>0</v>
      </c>
      <c r="E322" s="10">
        <f t="shared" si="45"/>
        <v>0</v>
      </c>
      <c r="F322" s="10">
        <f t="shared" si="46"/>
        <v>0</v>
      </c>
      <c r="G322" s="11">
        <f t="shared" si="51"/>
        <v>0</v>
      </c>
      <c r="H322" s="9"/>
      <c r="I322" s="92">
        <f t="shared" si="52"/>
      </c>
      <c r="L322" s="9">
        <v>314</v>
      </c>
      <c r="M322" s="9" t="s">
        <v>28</v>
      </c>
      <c r="N322" s="10">
        <f t="shared" si="47"/>
        <v>0</v>
      </c>
      <c r="O322" s="10">
        <f t="shared" si="48"/>
        <v>0</v>
      </c>
      <c r="P322" s="10">
        <f t="shared" si="49"/>
        <v>0</v>
      </c>
      <c r="Q322" s="11">
        <f t="shared" si="50"/>
        <v>0</v>
      </c>
      <c r="S322" s="92">
        <f t="shared" si="43"/>
      </c>
      <c r="V322" s="104"/>
    </row>
    <row r="323" spans="2:22" ht="12.75">
      <c r="B323" s="9">
        <v>315</v>
      </c>
      <c r="C323" s="9" t="s">
        <v>29</v>
      </c>
      <c r="D323" s="10">
        <f t="shared" si="44"/>
        <v>0</v>
      </c>
      <c r="E323" s="10">
        <f t="shared" si="45"/>
        <v>0</v>
      </c>
      <c r="F323" s="10">
        <f t="shared" si="46"/>
        <v>0</v>
      </c>
      <c r="G323" s="11">
        <f t="shared" si="51"/>
        <v>0</v>
      </c>
      <c r="H323" s="9"/>
      <c r="I323" s="92">
        <f t="shared" si="52"/>
      </c>
      <c r="L323" s="9">
        <v>315</v>
      </c>
      <c r="M323" s="9" t="s">
        <v>29</v>
      </c>
      <c r="N323" s="10">
        <f t="shared" si="47"/>
        <v>0</v>
      </c>
      <c r="O323" s="10">
        <f t="shared" si="48"/>
        <v>0</v>
      </c>
      <c r="P323" s="10">
        <f t="shared" si="49"/>
        <v>0</v>
      </c>
      <c r="Q323" s="11">
        <f t="shared" si="50"/>
        <v>0</v>
      </c>
      <c r="S323" s="92">
        <f t="shared" si="43"/>
      </c>
      <c r="V323" s="104"/>
    </row>
    <row r="324" spans="2:22" ht="12.75">
      <c r="B324" s="9">
        <v>316</v>
      </c>
      <c r="C324" s="9" t="s">
        <v>30</v>
      </c>
      <c r="D324" s="10">
        <f t="shared" si="44"/>
        <v>0</v>
      </c>
      <c r="E324" s="10">
        <f t="shared" si="45"/>
        <v>0</v>
      </c>
      <c r="F324" s="10">
        <f t="shared" si="46"/>
        <v>0</v>
      </c>
      <c r="G324" s="11">
        <f t="shared" si="51"/>
        <v>0</v>
      </c>
      <c r="H324" s="9"/>
      <c r="I324" s="92">
        <f t="shared" si="52"/>
      </c>
      <c r="L324" s="9">
        <v>316</v>
      </c>
      <c r="M324" s="9" t="s">
        <v>30</v>
      </c>
      <c r="N324" s="10">
        <f t="shared" si="47"/>
        <v>0</v>
      </c>
      <c r="O324" s="10">
        <f t="shared" si="48"/>
        <v>0</v>
      </c>
      <c r="P324" s="10">
        <f t="shared" si="49"/>
        <v>0</v>
      </c>
      <c r="Q324" s="11">
        <f t="shared" si="50"/>
        <v>0</v>
      </c>
      <c r="S324" s="92">
        <f t="shared" si="43"/>
      </c>
      <c r="V324" s="104"/>
    </row>
    <row r="325" spans="2:22" ht="12.75">
      <c r="B325" s="9">
        <v>317</v>
      </c>
      <c r="C325" s="9" t="s">
        <v>31</v>
      </c>
      <c r="D325" s="10">
        <f t="shared" si="44"/>
        <v>0</v>
      </c>
      <c r="E325" s="10">
        <f t="shared" si="45"/>
        <v>0</v>
      </c>
      <c r="F325" s="10">
        <f t="shared" si="46"/>
        <v>0</v>
      </c>
      <c r="G325" s="11">
        <f t="shared" si="51"/>
        <v>0</v>
      </c>
      <c r="H325" s="9"/>
      <c r="I325" s="92">
        <f t="shared" si="52"/>
      </c>
      <c r="L325" s="9">
        <v>317</v>
      </c>
      <c r="M325" s="9" t="s">
        <v>31</v>
      </c>
      <c r="N325" s="10">
        <f t="shared" si="47"/>
        <v>0</v>
      </c>
      <c r="O325" s="10">
        <f t="shared" si="48"/>
        <v>0</v>
      </c>
      <c r="P325" s="10">
        <f t="shared" si="49"/>
        <v>0</v>
      </c>
      <c r="Q325" s="11">
        <f t="shared" si="50"/>
        <v>0</v>
      </c>
      <c r="S325" s="92">
        <f t="shared" si="43"/>
      </c>
      <c r="V325" s="104"/>
    </row>
    <row r="326" spans="2:22" ht="12.75">
      <c r="B326" s="9">
        <v>318</v>
      </c>
      <c r="C326" s="9" t="s">
        <v>32</v>
      </c>
      <c r="D326" s="10">
        <f t="shared" si="44"/>
        <v>0</v>
      </c>
      <c r="E326" s="10">
        <f t="shared" si="45"/>
        <v>0</v>
      </c>
      <c r="F326" s="10">
        <f t="shared" si="46"/>
        <v>0</v>
      </c>
      <c r="G326" s="11">
        <f t="shared" si="51"/>
        <v>0</v>
      </c>
      <c r="H326" s="9"/>
      <c r="I326" s="92">
        <f t="shared" si="52"/>
      </c>
      <c r="L326" s="9">
        <v>318</v>
      </c>
      <c r="M326" s="9" t="s">
        <v>32</v>
      </c>
      <c r="N326" s="10">
        <f t="shared" si="47"/>
        <v>0</v>
      </c>
      <c r="O326" s="10">
        <f t="shared" si="48"/>
        <v>0</v>
      </c>
      <c r="P326" s="10">
        <f t="shared" si="49"/>
        <v>0</v>
      </c>
      <c r="Q326" s="11">
        <f t="shared" si="50"/>
        <v>0</v>
      </c>
      <c r="S326" s="92">
        <f aca="true" t="shared" si="53" ref="S326:S368">IF(O326&gt;0,L326,"")</f>
      </c>
      <c r="V326" s="104"/>
    </row>
    <row r="327" spans="2:22" ht="12.75">
      <c r="B327" s="9">
        <v>319</v>
      </c>
      <c r="C327" s="9" t="s">
        <v>33</v>
      </c>
      <c r="D327" s="10">
        <f t="shared" si="44"/>
        <v>0</v>
      </c>
      <c r="E327" s="10">
        <f t="shared" si="45"/>
        <v>0</v>
      </c>
      <c r="F327" s="10">
        <f t="shared" si="46"/>
        <v>0</v>
      </c>
      <c r="G327" s="11">
        <f t="shared" si="51"/>
        <v>0</v>
      </c>
      <c r="H327" s="9"/>
      <c r="I327" s="92">
        <f t="shared" si="52"/>
      </c>
      <c r="L327" s="9">
        <v>319</v>
      </c>
      <c r="M327" s="9" t="s">
        <v>33</v>
      </c>
      <c r="N327" s="10">
        <f t="shared" si="47"/>
        <v>0</v>
      </c>
      <c r="O327" s="10">
        <f t="shared" si="48"/>
        <v>0</v>
      </c>
      <c r="P327" s="10">
        <f t="shared" si="49"/>
        <v>0</v>
      </c>
      <c r="Q327" s="11">
        <f t="shared" si="50"/>
        <v>0</v>
      </c>
      <c r="S327" s="92">
        <f t="shared" si="53"/>
      </c>
      <c r="V327" s="104"/>
    </row>
    <row r="328" spans="2:22" ht="12.75">
      <c r="B328" s="9">
        <v>320</v>
      </c>
      <c r="C328" s="9" t="s">
        <v>34</v>
      </c>
      <c r="D328" s="10">
        <f t="shared" si="44"/>
        <v>0</v>
      </c>
      <c r="E328" s="10">
        <f t="shared" si="45"/>
        <v>0</v>
      </c>
      <c r="F328" s="10">
        <f t="shared" si="46"/>
        <v>0</v>
      </c>
      <c r="G328" s="11">
        <f t="shared" si="51"/>
        <v>0</v>
      </c>
      <c r="H328" s="9"/>
      <c r="I328" s="92">
        <f t="shared" si="52"/>
      </c>
      <c r="L328" s="9">
        <v>320</v>
      </c>
      <c r="M328" s="9" t="s">
        <v>34</v>
      </c>
      <c r="N328" s="10">
        <f t="shared" si="47"/>
        <v>0</v>
      </c>
      <c r="O328" s="10">
        <f t="shared" si="48"/>
        <v>0</v>
      </c>
      <c r="P328" s="10">
        <f t="shared" si="49"/>
        <v>0</v>
      </c>
      <c r="Q328" s="11">
        <f t="shared" si="50"/>
        <v>0</v>
      </c>
      <c r="S328" s="92">
        <f t="shared" si="53"/>
      </c>
      <c r="V328" s="104"/>
    </row>
    <row r="329" spans="2:22" ht="12.75">
      <c r="B329" s="9">
        <v>321</v>
      </c>
      <c r="C329" s="9" t="s">
        <v>35</v>
      </c>
      <c r="D329" s="10">
        <f t="shared" si="44"/>
        <v>0</v>
      </c>
      <c r="E329" s="10">
        <f t="shared" si="45"/>
        <v>0</v>
      </c>
      <c r="F329" s="10">
        <f t="shared" si="46"/>
        <v>0</v>
      </c>
      <c r="G329" s="11">
        <f t="shared" si="51"/>
        <v>0</v>
      </c>
      <c r="H329" s="9"/>
      <c r="I329" s="92">
        <f t="shared" si="52"/>
      </c>
      <c r="L329" s="9">
        <v>321</v>
      </c>
      <c r="M329" s="9" t="s">
        <v>35</v>
      </c>
      <c r="N329" s="10">
        <f t="shared" si="47"/>
        <v>0</v>
      </c>
      <c r="O329" s="10">
        <f t="shared" si="48"/>
        <v>0</v>
      </c>
      <c r="P329" s="10">
        <f t="shared" si="49"/>
        <v>0</v>
      </c>
      <c r="Q329" s="11">
        <f t="shared" si="50"/>
        <v>0</v>
      </c>
      <c r="S329" s="92">
        <f t="shared" si="53"/>
      </c>
      <c r="V329" s="104"/>
    </row>
    <row r="330" spans="2:22" ht="12.75">
      <c r="B330" s="9">
        <v>322</v>
      </c>
      <c r="C330" s="9" t="s">
        <v>36</v>
      </c>
      <c r="D330" s="10">
        <f aca="true" t="shared" si="54" ref="D330:D368">IF(G329&lt;D$5,G329+E330,D$5)</f>
        <v>0</v>
      </c>
      <c r="E330" s="10">
        <f aca="true" t="shared" si="55" ref="E330:E368">IF(G329/100*E$5/12&lt;0,0,G329/100*E$5/12)</f>
        <v>0</v>
      </c>
      <c r="F330" s="10">
        <f aca="true" t="shared" si="56" ref="F330:F368">D330-E330</f>
        <v>0</v>
      </c>
      <c r="G330" s="11">
        <f t="shared" si="51"/>
        <v>0</v>
      </c>
      <c r="H330" s="9"/>
      <c r="I330" s="92">
        <f t="shared" si="52"/>
      </c>
      <c r="L330" s="9">
        <v>322</v>
      </c>
      <c r="M330" s="9" t="s">
        <v>36</v>
      </c>
      <c r="N330" s="10">
        <f aca="true" t="shared" si="57" ref="N330:N368">IF(Q329&lt;D$5,Q329+O330,D$5)</f>
        <v>0</v>
      </c>
      <c r="O330" s="10">
        <f aca="true" t="shared" si="58" ref="O330:O368">IF(Q329/100*E$5/12&lt;0,0,Q329/100*E$5/12)</f>
        <v>0</v>
      </c>
      <c r="P330" s="10">
        <f aca="true" t="shared" si="59" ref="P330:P368">N330-O330</f>
        <v>0</v>
      </c>
      <c r="Q330" s="11">
        <f t="shared" si="50"/>
        <v>0</v>
      </c>
      <c r="S330" s="92">
        <f t="shared" si="53"/>
      </c>
      <c r="V330" s="104"/>
    </row>
    <row r="331" spans="2:22" ht="12.75">
      <c r="B331" s="9">
        <v>323</v>
      </c>
      <c r="C331" s="9" t="s">
        <v>37</v>
      </c>
      <c r="D331" s="10">
        <f t="shared" si="54"/>
        <v>0</v>
      </c>
      <c r="E331" s="10">
        <f t="shared" si="55"/>
        <v>0</v>
      </c>
      <c r="F331" s="10">
        <f t="shared" si="56"/>
        <v>0</v>
      </c>
      <c r="G331" s="11">
        <f t="shared" si="51"/>
        <v>0</v>
      </c>
      <c r="H331" s="9"/>
      <c r="I331" s="92">
        <f t="shared" si="52"/>
      </c>
      <c r="L331" s="9">
        <v>323</v>
      </c>
      <c r="M331" s="9" t="s">
        <v>37</v>
      </c>
      <c r="N331" s="10">
        <f t="shared" si="57"/>
        <v>0</v>
      </c>
      <c r="O331" s="10">
        <f t="shared" si="58"/>
        <v>0</v>
      </c>
      <c r="P331" s="10">
        <f t="shared" si="59"/>
        <v>0</v>
      </c>
      <c r="Q331" s="11">
        <f aca="true" t="shared" si="60" ref="Q331:Q368">Q330-P331</f>
        <v>0</v>
      </c>
      <c r="S331" s="92">
        <f t="shared" si="53"/>
      </c>
      <c r="V331" s="104"/>
    </row>
    <row r="332" spans="2:22" ht="12.75">
      <c r="B332" s="9">
        <v>324</v>
      </c>
      <c r="C332" s="9" t="s">
        <v>38</v>
      </c>
      <c r="D332" s="10">
        <f t="shared" si="54"/>
        <v>0</v>
      </c>
      <c r="E332" s="10">
        <f t="shared" si="55"/>
        <v>0</v>
      </c>
      <c r="F332" s="10">
        <f t="shared" si="56"/>
        <v>0</v>
      </c>
      <c r="G332" s="11">
        <f aca="true" t="shared" si="61" ref="G332:G368">G331-F332-H332</f>
        <v>0</v>
      </c>
      <c r="H332" s="9"/>
      <c r="I332" s="92">
        <f t="shared" si="52"/>
      </c>
      <c r="L332" s="9">
        <v>324</v>
      </c>
      <c r="M332" s="9" t="s">
        <v>38</v>
      </c>
      <c r="N332" s="10">
        <f t="shared" si="57"/>
        <v>0</v>
      </c>
      <c r="O332" s="10">
        <f t="shared" si="58"/>
        <v>0</v>
      </c>
      <c r="P332" s="10">
        <f t="shared" si="59"/>
        <v>0</v>
      </c>
      <c r="Q332" s="11">
        <f t="shared" si="60"/>
        <v>0</v>
      </c>
      <c r="S332" s="92">
        <f t="shared" si="53"/>
      </c>
      <c r="V332" s="104"/>
    </row>
    <row r="333" spans="2:22" ht="12.75">
      <c r="B333" s="84">
        <v>325</v>
      </c>
      <c r="C333" s="84" t="s">
        <v>27</v>
      </c>
      <c r="D333" s="85">
        <f t="shared" si="54"/>
        <v>0</v>
      </c>
      <c r="E333" s="85">
        <f t="shared" si="55"/>
        <v>0</v>
      </c>
      <c r="F333" s="85">
        <f t="shared" si="56"/>
        <v>0</v>
      </c>
      <c r="G333" s="86">
        <f t="shared" si="61"/>
        <v>0</v>
      </c>
      <c r="H333" s="68">
        <f>IF((G332-F333)&gt;Energie!S37,Energie!S37,(G332-F333))</f>
        <v>0</v>
      </c>
      <c r="I333" s="92">
        <f t="shared" si="52"/>
      </c>
      <c r="K333">
        <v>27</v>
      </c>
      <c r="L333" s="84">
        <v>325</v>
      </c>
      <c r="M333" s="84" t="s">
        <v>27</v>
      </c>
      <c r="N333" s="85">
        <f t="shared" si="57"/>
        <v>0</v>
      </c>
      <c r="O333" s="85">
        <f t="shared" si="58"/>
        <v>0</v>
      </c>
      <c r="P333" s="85">
        <f t="shared" si="59"/>
        <v>0</v>
      </c>
      <c r="Q333" s="86">
        <f t="shared" si="60"/>
        <v>0</v>
      </c>
      <c r="S333" s="92">
        <f t="shared" si="53"/>
      </c>
      <c r="T333" s="128">
        <f>SUM(N321:N332)</f>
        <v>0</v>
      </c>
      <c r="U333" s="128">
        <f>(SUM(N321:N332)+U321)</f>
        <v>505702.2279074476</v>
      </c>
      <c r="V333" s="104"/>
    </row>
    <row r="334" spans="2:22" ht="12.75">
      <c r="B334" s="9">
        <v>326</v>
      </c>
      <c r="C334" s="9" t="s">
        <v>28</v>
      </c>
      <c r="D334" s="10">
        <f t="shared" si="54"/>
        <v>0</v>
      </c>
      <c r="E334" s="10">
        <f t="shared" si="55"/>
        <v>0</v>
      </c>
      <c r="F334" s="10">
        <f t="shared" si="56"/>
        <v>0</v>
      </c>
      <c r="G334" s="11">
        <f t="shared" si="61"/>
        <v>0</v>
      </c>
      <c r="H334" s="9"/>
      <c r="I334" s="92">
        <f t="shared" si="52"/>
      </c>
      <c r="L334" s="9">
        <v>326</v>
      </c>
      <c r="M334" s="9" t="s">
        <v>28</v>
      </c>
      <c r="N334" s="10">
        <f t="shared" si="57"/>
        <v>0</v>
      </c>
      <c r="O334" s="10">
        <f t="shared" si="58"/>
        <v>0</v>
      </c>
      <c r="P334" s="10">
        <f t="shared" si="59"/>
        <v>0</v>
      </c>
      <c r="Q334" s="11">
        <f t="shared" si="60"/>
        <v>0</v>
      </c>
      <c r="S334" s="92">
        <f t="shared" si="53"/>
      </c>
      <c r="V334" s="104"/>
    </row>
    <row r="335" spans="2:22" ht="12.75">
      <c r="B335" s="9">
        <v>327</v>
      </c>
      <c r="C335" s="9" t="s">
        <v>29</v>
      </c>
      <c r="D335" s="10">
        <f t="shared" si="54"/>
        <v>0</v>
      </c>
      <c r="E335" s="10">
        <f t="shared" si="55"/>
        <v>0</v>
      </c>
      <c r="F335" s="10">
        <f t="shared" si="56"/>
        <v>0</v>
      </c>
      <c r="G335" s="11">
        <f t="shared" si="61"/>
        <v>0</v>
      </c>
      <c r="H335" s="9"/>
      <c r="I335" s="92">
        <f t="shared" si="52"/>
      </c>
      <c r="L335" s="9">
        <v>327</v>
      </c>
      <c r="M335" s="9" t="s">
        <v>29</v>
      </c>
      <c r="N335" s="10">
        <f t="shared" si="57"/>
        <v>0</v>
      </c>
      <c r="O335" s="10">
        <f t="shared" si="58"/>
        <v>0</v>
      </c>
      <c r="P335" s="10">
        <f t="shared" si="59"/>
        <v>0</v>
      </c>
      <c r="Q335" s="11">
        <f t="shared" si="60"/>
        <v>0</v>
      </c>
      <c r="S335" s="92">
        <f t="shared" si="53"/>
      </c>
      <c r="V335" s="104"/>
    </row>
    <row r="336" spans="2:22" ht="12.75">
      <c r="B336" s="9">
        <v>328</v>
      </c>
      <c r="C336" s="9" t="s">
        <v>30</v>
      </c>
      <c r="D336" s="10">
        <f t="shared" si="54"/>
        <v>0</v>
      </c>
      <c r="E336" s="10">
        <f t="shared" si="55"/>
        <v>0</v>
      </c>
      <c r="F336" s="10">
        <f t="shared" si="56"/>
        <v>0</v>
      </c>
      <c r="G336" s="11">
        <f t="shared" si="61"/>
        <v>0</v>
      </c>
      <c r="H336" s="9"/>
      <c r="I336" s="92">
        <f t="shared" si="52"/>
      </c>
      <c r="L336" s="9">
        <v>328</v>
      </c>
      <c r="M336" s="9" t="s">
        <v>30</v>
      </c>
      <c r="N336" s="10">
        <f t="shared" si="57"/>
        <v>0</v>
      </c>
      <c r="O336" s="10">
        <f t="shared" si="58"/>
        <v>0</v>
      </c>
      <c r="P336" s="10">
        <f t="shared" si="59"/>
        <v>0</v>
      </c>
      <c r="Q336" s="11">
        <f t="shared" si="60"/>
        <v>0</v>
      </c>
      <c r="S336" s="92">
        <f t="shared" si="53"/>
      </c>
      <c r="V336" s="104"/>
    </row>
    <row r="337" spans="2:22" ht="12.75">
      <c r="B337" s="9">
        <v>329</v>
      </c>
      <c r="C337" s="9" t="s">
        <v>31</v>
      </c>
      <c r="D337" s="10">
        <f t="shared" si="54"/>
        <v>0</v>
      </c>
      <c r="E337" s="10">
        <f t="shared" si="55"/>
        <v>0</v>
      </c>
      <c r="F337" s="10">
        <f t="shared" si="56"/>
        <v>0</v>
      </c>
      <c r="G337" s="11">
        <f t="shared" si="61"/>
        <v>0</v>
      </c>
      <c r="H337" s="9"/>
      <c r="I337" s="92">
        <f t="shared" si="52"/>
      </c>
      <c r="L337" s="9">
        <v>329</v>
      </c>
      <c r="M337" s="9" t="s">
        <v>31</v>
      </c>
      <c r="N337" s="10">
        <f t="shared" si="57"/>
        <v>0</v>
      </c>
      <c r="O337" s="10">
        <f t="shared" si="58"/>
        <v>0</v>
      </c>
      <c r="P337" s="10">
        <f t="shared" si="59"/>
        <v>0</v>
      </c>
      <c r="Q337" s="11">
        <f t="shared" si="60"/>
        <v>0</v>
      </c>
      <c r="S337" s="92">
        <f t="shared" si="53"/>
      </c>
      <c r="V337" s="104"/>
    </row>
    <row r="338" spans="2:22" ht="12.75">
      <c r="B338" s="9">
        <v>330</v>
      </c>
      <c r="C338" s="9" t="s">
        <v>32</v>
      </c>
      <c r="D338" s="10">
        <f t="shared" si="54"/>
        <v>0</v>
      </c>
      <c r="E338" s="10">
        <f t="shared" si="55"/>
        <v>0</v>
      </c>
      <c r="F338" s="10">
        <f t="shared" si="56"/>
        <v>0</v>
      </c>
      <c r="G338" s="11">
        <f t="shared" si="61"/>
        <v>0</v>
      </c>
      <c r="H338" s="9"/>
      <c r="I338" s="92">
        <f t="shared" si="52"/>
      </c>
      <c r="L338" s="9">
        <v>330</v>
      </c>
      <c r="M338" s="9" t="s">
        <v>32</v>
      </c>
      <c r="N338" s="10">
        <f t="shared" si="57"/>
        <v>0</v>
      </c>
      <c r="O338" s="10">
        <f t="shared" si="58"/>
        <v>0</v>
      </c>
      <c r="P338" s="10">
        <f t="shared" si="59"/>
        <v>0</v>
      </c>
      <c r="Q338" s="11">
        <f t="shared" si="60"/>
        <v>0</v>
      </c>
      <c r="S338" s="92">
        <f t="shared" si="53"/>
      </c>
      <c r="V338" s="104"/>
    </row>
    <row r="339" spans="2:22" ht="12.75">
      <c r="B339" s="9">
        <v>331</v>
      </c>
      <c r="C339" s="9" t="s">
        <v>33</v>
      </c>
      <c r="D339" s="10">
        <f t="shared" si="54"/>
        <v>0</v>
      </c>
      <c r="E339" s="10">
        <f t="shared" si="55"/>
        <v>0</v>
      </c>
      <c r="F339" s="10">
        <f t="shared" si="56"/>
        <v>0</v>
      </c>
      <c r="G339" s="11">
        <f t="shared" si="61"/>
        <v>0</v>
      </c>
      <c r="H339" s="9"/>
      <c r="I339" s="92">
        <f t="shared" si="52"/>
      </c>
      <c r="L339" s="9">
        <v>331</v>
      </c>
      <c r="M339" s="9" t="s">
        <v>33</v>
      </c>
      <c r="N339" s="10">
        <f t="shared" si="57"/>
        <v>0</v>
      </c>
      <c r="O339" s="10">
        <f t="shared" si="58"/>
        <v>0</v>
      </c>
      <c r="P339" s="10">
        <f t="shared" si="59"/>
        <v>0</v>
      </c>
      <c r="Q339" s="11">
        <f t="shared" si="60"/>
        <v>0</v>
      </c>
      <c r="S339" s="92">
        <f t="shared" si="53"/>
      </c>
      <c r="V339" s="104"/>
    </row>
    <row r="340" spans="2:22" ht="12.75">
      <c r="B340" s="9">
        <v>332</v>
      </c>
      <c r="C340" s="9" t="s">
        <v>34</v>
      </c>
      <c r="D340" s="10">
        <f t="shared" si="54"/>
        <v>0</v>
      </c>
      <c r="E340" s="10">
        <f t="shared" si="55"/>
        <v>0</v>
      </c>
      <c r="F340" s="10">
        <f t="shared" si="56"/>
        <v>0</v>
      </c>
      <c r="G340" s="11">
        <f t="shared" si="61"/>
        <v>0</v>
      </c>
      <c r="H340" s="9"/>
      <c r="I340" s="92">
        <f t="shared" si="52"/>
      </c>
      <c r="L340" s="9">
        <v>332</v>
      </c>
      <c r="M340" s="9" t="s">
        <v>34</v>
      </c>
      <c r="N340" s="10">
        <f t="shared" si="57"/>
        <v>0</v>
      </c>
      <c r="O340" s="10">
        <f t="shared" si="58"/>
        <v>0</v>
      </c>
      <c r="P340" s="10">
        <f t="shared" si="59"/>
        <v>0</v>
      </c>
      <c r="Q340" s="11">
        <f t="shared" si="60"/>
        <v>0</v>
      </c>
      <c r="S340" s="92">
        <f t="shared" si="53"/>
      </c>
      <c r="V340" s="104"/>
    </row>
    <row r="341" spans="2:22" ht="12.75">
      <c r="B341" s="9">
        <v>333</v>
      </c>
      <c r="C341" s="9" t="s">
        <v>35</v>
      </c>
      <c r="D341" s="10">
        <f t="shared" si="54"/>
        <v>0</v>
      </c>
      <c r="E341" s="10">
        <f t="shared" si="55"/>
        <v>0</v>
      </c>
      <c r="F341" s="10">
        <f t="shared" si="56"/>
        <v>0</v>
      </c>
      <c r="G341" s="11">
        <f t="shared" si="61"/>
        <v>0</v>
      </c>
      <c r="H341" s="9"/>
      <c r="I341" s="92">
        <f t="shared" si="52"/>
      </c>
      <c r="L341" s="9">
        <v>333</v>
      </c>
      <c r="M341" s="9" t="s">
        <v>35</v>
      </c>
      <c r="N341" s="10">
        <f t="shared" si="57"/>
        <v>0</v>
      </c>
      <c r="O341" s="10">
        <f t="shared" si="58"/>
        <v>0</v>
      </c>
      <c r="P341" s="10">
        <f t="shared" si="59"/>
        <v>0</v>
      </c>
      <c r="Q341" s="11">
        <f t="shared" si="60"/>
        <v>0</v>
      </c>
      <c r="S341" s="92">
        <f t="shared" si="53"/>
      </c>
      <c r="V341" s="104"/>
    </row>
    <row r="342" spans="2:22" ht="12.75">
      <c r="B342" s="9">
        <v>334</v>
      </c>
      <c r="C342" s="9" t="s">
        <v>36</v>
      </c>
      <c r="D342" s="10">
        <f t="shared" si="54"/>
        <v>0</v>
      </c>
      <c r="E342" s="10">
        <f t="shared" si="55"/>
        <v>0</v>
      </c>
      <c r="F342" s="10">
        <f t="shared" si="56"/>
        <v>0</v>
      </c>
      <c r="G342" s="11">
        <f t="shared" si="61"/>
        <v>0</v>
      </c>
      <c r="H342" s="9"/>
      <c r="I342" s="92">
        <f t="shared" si="52"/>
      </c>
      <c r="L342" s="9">
        <v>334</v>
      </c>
      <c r="M342" s="9" t="s">
        <v>36</v>
      </c>
      <c r="N342" s="10">
        <f t="shared" si="57"/>
        <v>0</v>
      </c>
      <c r="O342" s="10">
        <f t="shared" si="58"/>
        <v>0</v>
      </c>
      <c r="P342" s="10">
        <f t="shared" si="59"/>
        <v>0</v>
      </c>
      <c r="Q342" s="11">
        <f t="shared" si="60"/>
        <v>0</v>
      </c>
      <c r="S342" s="92">
        <f t="shared" si="53"/>
      </c>
      <c r="V342" s="104"/>
    </row>
    <row r="343" spans="2:22" ht="12.75">
      <c r="B343" s="9">
        <v>335</v>
      </c>
      <c r="C343" s="9" t="s">
        <v>37</v>
      </c>
      <c r="D343" s="10">
        <f t="shared" si="54"/>
        <v>0</v>
      </c>
      <c r="E343" s="10">
        <f t="shared" si="55"/>
        <v>0</v>
      </c>
      <c r="F343" s="10">
        <f t="shared" si="56"/>
        <v>0</v>
      </c>
      <c r="G343" s="11">
        <f t="shared" si="61"/>
        <v>0</v>
      </c>
      <c r="H343" s="9"/>
      <c r="I343" s="92">
        <f t="shared" si="52"/>
      </c>
      <c r="L343" s="9">
        <v>335</v>
      </c>
      <c r="M343" s="9" t="s">
        <v>37</v>
      </c>
      <c r="N343" s="10">
        <f t="shared" si="57"/>
        <v>0</v>
      </c>
      <c r="O343" s="10">
        <f t="shared" si="58"/>
        <v>0</v>
      </c>
      <c r="P343" s="10">
        <f t="shared" si="59"/>
        <v>0</v>
      </c>
      <c r="Q343" s="11">
        <f t="shared" si="60"/>
        <v>0</v>
      </c>
      <c r="S343" s="92">
        <f t="shared" si="53"/>
      </c>
      <c r="V343" s="104"/>
    </row>
    <row r="344" spans="2:22" ht="12.75">
      <c r="B344" s="9">
        <v>336</v>
      </c>
      <c r="C344" s="9" t="s">
        <v>38</v>
      </c>
      <c r="D344" s="10">
        <f t="shared" si="54"/>
        <v>0</v>
      </c>
      <c r="E344" s="10">
        <f t="shared" si="55"/>
        <v>0</v>
      </c>
      <c r="F344" s="10">
        <f t="shared" si="56"/>
        <v>0</v>
      </c>
      <c r="G344" s="11">
        <f t="shared" si="61"/>
        <v>0</v>
      </c>
      <c r="H344" s="9"/>
      <c r="I344" s="92">
        <f t="shared" si="52"/>
      </c>
      <c r="L344" s="9">
        <v>336</v>
      </c>
      <c r="M344" s="9" t="s">
        <v>38</v>
      </c>
      <c r="N344" s="10">
        <f t="shared" si="57"/>
        <v>0</v>
      </c>
      <c r="O344" s="10">
        <f t="shared" si="58"/>
        <v>0</v>
      </c>
      <c r="P344" s="10">
        <f t="shared" si="59"/>
        <v>0</v>
      </c>
      <c r="Q344" s="11">
        <f t="shared" si="60"/>
        <v>0</v>
      </c>
      <c r="S344" s="92">
        <f t="shared" si="53"/>
      </c>
      <c r="V344" s="104"/>
    </row>
    <row r="345" spans="2:22" ht="12.75">
      <c r="B345" s="84">
        <v>337</v>
      </c>
      <c r="C345" s="84" t="s">
        <v>27</v>
      </c>
      <c r="D345" s="85">
        <f t="shared" si="54"/>
        <v>0</v>
      </c>
      <c r="E345" s="85">
        <f t="shared" si="55"/>
        <v>0</v>
      </c>
      <c r="F345" s="85">
        <f t="shared" si="56"/>
        <v>0</v>
      </c>
      <c r="G345" s="86">
        <f t="shared" si="61"/>
        <v>0</v>
      </c>
      <c r="H345" s="68">
        <f>IF((G344-F345)&gt;Energie!S38,Energie!S38,(G344-F345))</f>
        <v>0</v>
      </c>
      <c r="I345" s="92">
        <f t="shared" si="52"/>
      </c>
      <c r="K345">
        <v>28</v>
      </c>
      <c r="L345" s="84">
        <v>337</v>
      </c>
      <c r="M345" s="84" t="s">
        <v>27</v>
      </c>
      <c r="N345" s="85">
        <f t="shared" si="57"/>
        <v>0</v>
      </c>
      <c r="O345" s="85">
        <f t="shared" si="58"/>
        <v>0</v>
      </c>
      <c r="P345" s="85">
        <f t="shared" si="59"/>
        <v>0</v>
      </c>
      <c r="Q345" s="86">
        <f t="shared" si="60"/>
        <v>0</v>
      </c>
      <c r="S345" s="92">
        <f t="shared" si="53"/>
      </c>
      <c r="T345" s="128">
        <f>SUM(N333:N344)</f>
        <v>0</v>
      </c>
      <c r="U345" s="128">
        <f>(SUM(N333:N344)+U333)</f>
        <v>505702.2279074476</v>
      </c>
      <c r="V345" s="104"/>
    </row>
    <row r="346" spans="2:22" ht="12.75">
      <c r="B346" s="9">
        <v>338</v>
      </c>
      <c r="C346" s="9" t="s">
        <v>28</v>
      </c>
      <c r="D346" s="10">
        <f t="shared" si="54"/>
        <v>0</v>
      </c>
      <c r="E346" s="10">
        <f t="shared" si="55"/>
        <v>0</v>
      </c>
      <c r="F346" s="10">
        <f t="shared" si="56"/>
        <v>0</v>
      </c>
      <c r="G346" s="11">
        <f t="shared" si="61"/>
        <v>0</v>
      </c>
      <c r="H346" s="9"/>
      <c r="I346" s="92">
        <f t="shared" si="52"/>
      </c>
      <c r="L346" s="9">
        <v>338</v>
      </c>
      <c r="M346" s="9" t="s">
        <v>28</v>
      </c>
      <c r="N346" s="10">
        <f t="shared" si="57"/>
        <v>0</v>
      </c>
      <c r="O346" s="10">
        <f t="shared" si="58"/>
        <v>0</v>
      </c>
      <c r="P346" s="10">
        <f t="shared" si="59"/>
        <v>0</v>
      </c>
      <c r="Q346" s="11">
        <f t="shared" si="60"/>
        <v>0</v>
      </c>
      <c r="S346" s="92">
        <f t="shared" si="53"/>
      </c>
      <c r="V346" s="104"/>
    </row>
    <row r="347" spans="2:22" ht="12.75">
      <c r="B347" s="9">
        <v>339</v>
      </c>
      <c r="C347" s="9" t="s">
        <v>29</v>
      </c>
      <c r="D347" s="10">
        <f t="shared" si="54"/>
        <v>0</v>
      </c>
      <c r="E347" s="10">
        <f t="shared" si="55"/>
        <v>0</v>
      </c>
      <c r="F347" s="10">
        <f t="shared" si="56"/>
        <v>0</v>
      </c>
      <c r="G347" s="11">
        <f t="shared" si="61"/>
        <v>0</v>
      </c>
      <c r="H347" s="9"/>
      <c r="I347" s="92">
        <f t="shared" si="52"/>
      </c>
      <c r="L347" s="9">
        <v>339</v>
      </c>
      <c r="M347" s="9" t="s">
        <v>29</v>
      </c>
      <c r="N347" s="10">
        <f t="shared" si="57"/>
        <v>0</v>
      </c>
      <c r="O347" s="10">
        <f t="shared" si="58"/>
        <v>0</v>
      </c>
      <c r="P347" s="10">
        <f t="shared" si="59"/>
        <v>0</v>
      </c>
      <c r="Q347" s="11">
        <f t="shared" si="60"/>
        <v>0</v>
      </c>
      <c r="S347" s="92">
        <f t="shared" si="53"/>
      </c>
      <c r="V347" s="104"/>
    </row>
    <row r="348" spans="2:22" ht="12.75">
      <c r="B348" s="9">
        <v>340</v>
      </c>
      <c r="C348" s="9" t="s">
        <v>30</v>
      </c>
      <c r="D348" s="10">
        <f t="shared" si="54"/>
        <v>0</v>
      </c>
      <c r="E348" s="10">
        <f t="shared" si="55"/>
        <v>0</v>
      </c>
      <c r="F348" s="10">
        <f t="shared" si="56"/>
        <v>0</v>
      </c>
      <c r="G348" s="11">
        <f t="shared" si="61"/>
        <v>0</v>
      </c>
      <c r="H348" s="9"/>
      <c r="I348" s="92">
        <f t="shared" si="52"/>
      </c>
      <c r="L348" s="9">
        <v>340</v>
      </c>
      <c r="M348" s="9" t="s">
        <v>30</v>
      </c>
      <c r="N348" s="10">
        <f t="shared" si="57"/>
        <v>0</v>
      </c>
      <c r="O348" s="10">
        <f t="shared" si="58"/>
        <v>0</v>
      </c>
      <c r="P348" s="10">
        <f t="shared" si="59"/>
        <v>0</v>
      </c>
      <c r="Q348" s="11">
        <f t="shared" si="60"/>
        <v>0</v>
      </c>
      <c r="S348" s="92">
        <f t="shared" si="53"/>
      </c>
      <c r="V348" s="104"/>
    </row>
    <row r="349" spans="2:22" ht="12.75">
      <c r="B349" s="9">
        <v>341</v>
      </c>
      <c r="C349" s="9" t="s">
        <v>31</v>
      </c>
      <c r="D349" s="10">
        <f t="shared" si="54"/>
        <v>0</v>
      </c>
      <c r="E349" s="10">
        <f t="shared" si="55"/>
        <v>0</v>
      </c>
      <c r="F349" s="10">
        <f t="shared" si="56"/>
        <v>0</v>
      </c>
      <c r="G349" s="11">
        <f t="shared" si="61"/>
        <v>0</v>
      </c>
      <c r="H349" s="9"/>
      <c r="I349" s="92">
        <f t="shared" si="52"/>
      </c>
      <c r="L349" s="9">
        <v>341</v>
      </c>
      <c r="M349" s="9" t="s">
        <v>31</v>
      </c>
      <c r="N349" s="10">
        <f t="shared" si="57"/>
        <v>0</v>
      </c>
      <c r="O349" s="10">
        <f t="shared" si="58"/>
        <v>0</v>
      </c>
      <c r="P349" s="10">
        <f t="shared" si="59"/>
        <v>0</v>
      </c>
      <c r="Q349" s="11">
        <f t="shared" si="60"/>
        <v>0</v>
      </c>
      <c r="S349" s="92">
        <f t="shared" si="53"/>
      </c>
      <c r="V349" s="104"/>
    </row>
    <row r="350" spans="2:22" ht="12.75">
      <c r="B350" s="9">
        <v>342</v>
      </c>
      <c r="C350" s="9" t="s">
        <v>32</v>
      </c>
      <c r="D350" s="10">
        <f t="shared" si="54"/>
        <v>0</v>
      </c>
      <c r="E350" s="10">
        <f t="shared" si="55"/>
        <v>0</v>
      </c>
      <c r="F350" s="10">
        <f t="shared" si="56"/>
        <v>0</v>
      </c>
      <c r="G350" s="11">
        <f t="shared" si="61"/>
        <v>0</v>
      </c>
      <c r="H350" s="9"/>
      <c r="I350" s="92">
        <f t="shared" si="52"/>
      </c>
      <c r="L350" s="9">
        <v>342</v>
      </c>
      <c r="M350" s="9" t="s">
        <v>32</v>
      </c>
      <c r="N350" s="10">
        <f t="shared" si="57"/>
        <v>0</v>
      </c>
      <c r="O350" s="10">
        <f t="shared" si="58"/>
        <v>0</v>
      </c>
      <c r="P350" s="10">
        <f t="shared" si="59"/>
        <v>0</v>
      </c>
      <c r="Q350" s="11">
        <f t="shared" si="60"/>
        <v>0</v>
      </c>
      <c r="S350" s="92">
        <f t="shared" si="53"/>
      </c>
      <c r="V350" s="104"/>
    </row>
    <row r="351" spans="2:22" ht="12.75">
      <c r="B351" s="9">
        <v>343</v>
      </c>
      <c r="C351" s="9" t="s">
        <v>33</v>
      </c>
      <c r="D351" s="10">
        <f t="shared" si="54"/>
        <v>0</v>
      </c>
      <c r="E351" s="10">
        <f t="shared" si="55"/>
        <v>0</v>
      </c>
      <c r="F351" s="10">
        <f t="shared" si="56"/>
        <v>0</v>
      </c>
      <c r="G351" s="11">
        <f t="shared" si="61"/>
        <v>0</v>
      </c>
      <c r="H351" s="9"/>
      <c r="I351" s="92">
        <f t="shared" si="52"/>
      </c>
      <c r="L351" s="9">
        <v>343</v>
      </c>
      <c r="M351" s="9" t="s">
        <v>33</v>
      </c>
      <c r="N351" s="10">
        <f t="shared" si="57"/>
        <v>0</v>
      </c>
      <c r="O351" s="10">
        <f t="shared" si="58"/>
        <v>0</v>
      </c>
      <c r="P351" s="10">
        <f t="shared" si="59"/>
        <v>0</v>
      </c>
      <c r="Q351" s="11">
        <f t="shared" si="60"/>
        <v>0</v>
      </c>
      <c r="S351" s="92">
        <f t="shared" si="53"/>
      </c>
      <c r="V351" s="104"/>
    </row>
    <row r="352" spans="2:22" ht="12.75">
      <c r="B352" s="9">
        <v>344</v>
      </c>
      <c r="C352" s="9" t="s">
        <v>34</v>
      </c>
      <c r="D352" s="10">
        <f t="shared" si="54"/>
        <v>0</v>
      </c>
      <c r="E352" s="10">
        <f t="shared" si="55"/>
        <v>0</v>
      </c>
      <c r="F352" s="10">
        <f t="shared" si="56"/>
        <v>0</v>
      </c>
      <c r="G352" s="11">
        <f t="shared" si="61"/>
        <v>0</v>
      </c>
      <c r="H352" s="9"/>
      <c r="I352" s="92">
        <f t="shared" si="52"/>
      </c>
      <c r="L352" s="9">
        <v>344</v>
      </c>
      <c r="M352" s="9" t="s">
        <v>34</v>
      </c>
      <c r="N352" s="10">
        <f t="shared" si="57"/>
        <v>0</v>
      </c>
      <c r="O352" s="10">
        <f t="shared" si="58"/>
        <v>0</v>
      </c>
      <c r="P352" s="10">
        <f t="shared" si="59"/>
        <v>0</v>
      </c>
      <c r="Q352" s="11">
        <f t="shared" si="60"/>
        <v>0</v>
      </c>
      <c r="S352" s="92">
        <f t="shared" si="53"/>
      </c>
      <c r="V352" s="104"/>
    </row>
    <row r="353" spans="2:22" ht="12.75">
      <c r="B353" s="9">
        <v>345</v>
      </c>
      <c r="C353" s="9" t="s">
        <v>35</v>
      </c>
      <c r="D353" s="10">
        <f t="shared" si="54"/>
        <v>0</v>
      </c>
      <c r="E353" s="10">
        <f t="shared" si="55"/>
        <v>0</v>
      </c>
      <c r="F353" s="10">
        <f t="shared" si="56"/>
        <v>0</v>
      </c>
      <c r="G353" s="11">
        <f t="shared" si="61"/>
        <v>0</v>
      </c>
      <c r="H353" s="9"/>
      <c r="I353" s="92">
        <f t="shared" si="52"/>
      </c>
      <c r="L353" s="9">
        <v>345</v>
      </c>
      <c r="M353" s="9" t="s">
        <v>35</v>
      </c>
      <c r="N353" s="10">
        <f t="shared" si="57"/>
        <v>0</v>
      </c>
      <c r="O353" s="10">
        <f t="shared" si="58"/>
        <v>0</v>
      </c>
      <c r="P353" s="10">
        <f t="shared" si="59"/>
        <v>0</v>
      </c>
      <c r="Q353" s="11">
        <f t="shared" si="60"/>
        <v>0</v>
      </c>
      <c r="S353" s="92">
        <f t="shared" si="53"/>
      </c>
      <c r="V353" s="104"/>
    </row>
    <row r="354" spans="2:22" ht="12.75">
      <c r="B354" s="9">
        <v>346</v>
      </c>
      <c r="C354" s="9" t="s">
        <v>36</v>
      </c>
      <c r="D354" s="10">
        <f t="shared" si="54"/>
        <v>0</v>
      </c>
      <c r="E354" s="10">
        <f t="shared" si="55"/>
        <v>0</v>
      </c>
      <c r="F354" s="10">
        <f t="shared" si="56"/>
        <v>0</v>
      </c>
      <c r="G354" s="11">
        <f t="shared" si="61"/>
        <v>0</v>
      </c>
      <c r="H354" s="9"/>
      <c r="I354" s="92">
        <f t="shared" si="52"/>
      </c>
      <c r="L354" s="9">
        <v>346</v>
      </c>
      <c r="M354" s="9" t="s">
        <v>36</v>
      </c>
      <c r="N354" s="10">
        <f t="shared" si="57"/>
        <v>0</v>
      </c>
      <c r="O354" s="10">
        <f t="shared" si="58"/>
        <v>0</v>
      </c>
      <c r="P354" s="10">
        <f t="shared" si="59"/>
        <v>0</v>
      </c>
      <c r="Q354" s="11">
        <f t="shared" si="60"/>
        <v>0</v>
      </c>
      <c r="S354" s="92">
        <f t="shared" si="53"/>
      </c>
      <c r="V354" s="104"/>
    </row>
    <row r="355" spans="2:22" ht="12.75">
      <c r="B355" s="9">
        <v>347</v>
      </c>
      <c r="C355" s="9" t="s">
        <v>37</v>
      </c>
      <c r="D355" s="10">
        <f t="shared" si="54"/>
        <v>0</v>
      </c>
      <c r="E355" s="10">
        <f t="shared" si="55"/>
        <v>0</v>
      </c>
      <c r="F355" s="10">
        <f t="shared" si="56"/>
        <v>0</v>
      </c>
      <c r="G355" s="11">
        <f t="shared" si="61"/>
        <v>0</v>
      </c>
      <c r="H355" s="9"/>
      <c r="I355" s="92">
        <f t="shared" si="52"/>
      </c>
      <c r="L355" s="9">
        <v>347</v>
      </c>
      <c r="M355" s="9" t="s">
        <v>37</v>
      </c>
      <c r="N355" s="10">
        <f t="shared" si="57"/>
        <v>0</v>
      </c>
      <c r="O355" s="10">
        <f t="shared" si="58"/>
        <v>0</v>
      </c>
      <c r="P355" s="10">
        <f t="shared" si="59"/>
        <v>0</v>
      </c>
      <c r="Q355" s="11">
        <f t="shared" si="60"/>
        <v>0</v>
      </c>
      <c r="S355" s="92">
        <f t="shared" si="53"/>
      </c>
      <c r="V355" s="104"/>
    </row>
    <row r="356" spans="2:22" ht="12.75">
      <c r="B356" s="9">
        <v>348</v>
      </c>
      <c r="C356" s="9" t="s">
        <v>38</v>
      </c>
      <c r="D356" s="10">
        <f t="shared" si="54"/>
        <v>0</v>
      </c>
      <c r="E356" s="10">
        <f t="shared" si="55"/>
        <v>0</v>
      </c>
      <c r="F356" s="10">
        <f t="shared" si="56"/>
        <v>0</v>
      </c>
      <c r="G356" s="11">
        <f t="shared" si="61"/>
        <v>0</v>
      </c>
      <c r="H356" s="9"/>
      <c r="I356" s="92">
        <f t="shared" si="52"/>
      </c>
      <c r="L356" s="9">
        <v>348</v>
      </c>
      <c r="M356" s="9" t="s">
        <v>38</v>
      </c>
      <c r="N356" s="10">
        <f t="shared" si="57"/>
        <v>0</v>
      </c>
      <c r="O356" s="10">
        <f t="shared" si="58"/>
        <v>0</v>
      </c>
      <c r="P356" s="10">
        <f t="shared" si="59"/>
        <v>0</v>
      </c>
      <c r="Q356" s="11">
        <f t="shared" si="60"/>
        <v>0</v>
      </c>
      <c r="S356" s="92">
        <f t="shared" si="53"/>
      </c>
      <c r="V356" s="104"/>
    </row>
    <row r="357" spans="2:22" ht="12.75">
      <c r="B357" s="84">
        <v>349</v>
      </c>
      <c r="C357" s="84" t="s">
        <v>27</v>
      </c>
      <c r="D357" s="85">
        <f t="shared" si="54"/>
        <v>0</v>
      </c>
      <c r="E357" s="85">
        <f t="shared" si="55"/>
        <v>0</v>
      </c>
      <c r="F357" s="85">
        <f t="shared" si="56"/>
        <v>0</v>
      </c>
      <c r="G357" s="86">
        <f>G356-F357-H357</f>
        <v>0</v>
      </c>
      <c r="H357" s="68">
        <f>IF((G356-F357)&gt;Energie!S39,Energie!S39,(G356-F357))</f>
        <v>0</v>
      </c>
      <c r="I357" s="92">
        <f t="shared" si="52"/>
      </c>
      <c r="K357">
        <v>29</v>
      </c>
      <c r="L357" s="84">
        <v>349</v>
      </c>
      <c r="M357" s="84" t="s">
        <v>27</v>
      </c>
      <c r="N357" s="85">
        <f t="shared" si="57"/>
        <v>0</v>
      </c>
      <c r="O357" s="85">
        <f t="shared" si="58"/>
        <v>0</v>
      </c>
      <c r="P357" s="85">
        <f t="shared" si="59"/>
        <v>0</v>
      </c>
      <c r="Q357" s="86">
        <f t="shared" si="60"/>
        <v>0</v>
      </c>
      <c r="S357" s="92">
        <f t="shared" si="53"/>
      </c>
      <c r="T357" s="128">
        <f>SUM(N345:N356)</f>
        <v>0</v>
      </c>
      <c r="U357" s="128">
        <f>(SUM(N345:N356)+U345)</f>
        <v>505702.2279074476</v>
      </c>
      <c r="V357" s="104"/>
    </row>
    <row r="358" spans="2:22" ht="12.75">
      <c r="B358" s="9">
        <v>350</v>
      </c>
      <c r="C358" s="9" t="s">
        <v>28</v>
      </c>
      <c r="D358" s="10">
        <f t="shared" si="54"/>
        <v>0</v>
      </c>
      <c r="E358" s="10">
        <f t="shared" si="55"/>
        <v>0</v>
      </c>
      <c r="F358" s="10">
        <f t="shared" si="56"/>
        <v>0</v>
      </c>
      <c r="G358" s="11">
        <f t="shared" si="61"/>
        <v>0</v>
      </c>
      <c r="H358" s="9"/>
      <c r="I358" s="92">
        <f t="shared" si="52"/>
      </c>
      <c r="L358" s="9">
        <v>350</v>
      </c>
      <c r="M358" s="9" t="s">
        <v>28</v>
      </c>
      <c r="N358" s="10">
        <f t="shared" si="57"/>
        <v>0</v>
      </c>
      <c r="O358" s="10">
        <f t="shared" si="58"/>
        <v>0</v>
      </c>
      <c r="P358" s="10">
        <f t="shared" si="59"/>
        <v>0</v>
      </c>
      <c r="Q358" s="11">
        <f t="shared" si="60"/>
        <v>0</v>
      </c>
      <c r="S358" s="92">
        <f t="shared" si="53"/>
      </c>
      <c r="V358" s="104"/>
    </row>
    <row r="359" spans="2:22" ht="12.75">
      <c r="B359" s="9">
        <v>351</v>
      </c>
      <c r="C359" s="9" t="s">
        <v>29</v>
      </c>
      <c r="D359" s="10">
        <f t="shared" si="54"/>
        <v>0</v>
      </c>
      <c r="E359" s="10">
        <f t="shared" si="55"/>
        <v>0</v>
      </c>
      <c r="F359" s="10">
        <f t="shared" si="56"/>
        <v>0</v>
      </c>
      <c r="G359" s="11">
        <f t="shared" si="61"/>
        <v>0</v>
      </c>
      <c r="H359" s="9"/>
      <c r="I359" s="92">
        <f t="shared" si="52"/>
      </c>
      <c r="L359" s="9">
        <v>351</v>
      </c>
      <c r="M359" s="9" t="s">
        <v>29</v>
      </c>
      <c r="N359" s="10">
        <f t="shared" si="57"/>
        <v>0</v>
      </c>
      <c r="O359" s="10">
        <f t="shared" si="58"/>
        <v>0</v>
      </c>
      <c r="P359" s="10">
        <f t="shared" si="59"/>
        <v>0</v>
      </c>
      <c r="Q359" s="11">
        <f t="shared" si="60"/>
        <v>0</v>
      </c>
      <c r="S359" s="92">
        <f t="shared" si="53"/>
      </c>
      <c r="V359" s="104"/>
    </row>
    <row r="360" spans="2:22" ht="12.75">
      <c r="B360" s="9">
        <v>352</v>
      </c>
      <c r="C360" s="9" t="s">
        <v>30</v>
      </c>
      <c r="D360" s="10">
        <f t="shared" si="54"/>
        <v>0</v>
      </c>
      <c r="E360" s="10">
        <f t="shared" si="55"/>
        <v>0</v>
      </c>
      <c r="F360" s="10">
        <f t="shared" si="56"/>
        <v>0</v>
      </c>
      <c r="G360" s="11">
        <f t="shared" si="61"/>
        <v>0</v>
      </c>
      <c r="H360" s="9"/>
      <c r="I360" s="92">
        <f t="shared" si="52"/>
      </c>
      <c r="L360" s="9">
        <v>352</v>
      </c>
      <c r="M360" s="9" t="s">
        <v>30</v>
      </c>
      <c r="N360" s="10">
        <f t="shared" si="57"/>
        <v>0</v>
      </c>
      <c r="O360" s="10">
        <f t="shared" si="58"/>
        <v>0</v>
      </c>
      <c r="P360" s="10">
        <f t="shared" si="59"/>
        <v>0</v>
      </c>
      <c r="Q360" s="11">
        <f t="shared" si="60"/>
        <v>0</v>
      </c>
      <c r="S360" s="92">
        <f t="shared" si="53"/>
      </c>
      <c r="V360" s="104"/>
    </row>
    <row r="361" spans="2:22" ht="12.75">
      <c r="B361" s="9">
        <v>353</v>
      </c>
      <c r="C361" s="9" t="s">
        <v>31</v>
      </c>
      <c r="D361" s="10">
        <f t="shared" si="54"/>
        <v>0</v>
      </c>
      <c r="E361" s="10">
        <f t="shared" si="55"/>
        <v>0</v>
      </c>
      <c r="F361" s="10">
        <f t="shared" si="56"/>
        <v>0</v>
      </c>
      <c r="G361" s="11">
        <f t="shared" si="61"/>
        <v>0</v>
      </c>
      <c r="H361" s="9"/>
      <c r="I361" s="92">
        <f t="shared" si="52"/>
      </c>
      <c r="L361" s="9">
        <v>353</v>
      </c>
      <c r="M361" s="9" t="s">
        <v>31</v>
      </c>
      <c r="N361" s="10">
        <f t="shared" si="57"/>
        <v>0</v>
      </c>
      <c r="O361" s="10">
        <f t="shared" si="58"/>
        <v>0</v>
      </c>
      <c r="P361" s="10">
        <f t="shared" si="59"/>
        <v>0</v>
      </c>
      <c r="Q361" s="11">
        <f t="shared" si="60"/>
        <v>0</v>
      </c>
      <c r="S361" s="92">
        <f t="shared" si="53"/>
      </c>
      <c r="V361" s="104"/>
    </row>
    <row r="362" spans="2:22" ht="12.75">
      <c r="B362" s="9">
        <v>354</v>
      </c>
      <c r="C362" s="9" t="s">
        <v>32</v>
      </c>
      <c r="D362" s="10">
        <f t="shared" si="54"/>
        <v>0</v>
      </c>
      <c r="E362" s="10">
        <f t="shared" si="55"/>
        <v>0</v>
      </c>
      <c r="F362" s="10">
        <f t="shared" si="56"/>
        <v>0</v>
      </c>
      <c r="G362" s="11">
        <f t="shared" si="61"/>
        <v>0</v>
      </c>
      <c r="H362" s="9"/>
      <c r="I362" s="92">
        <f t="shared" si="52"/>
      </c>
      <c r="L362" s="9">
        <v>354</v>
      </c>
      <c r="M362" s="9" t="s">
        <v>32</v>
      </c>
      <c r="N362" s="10">
        <f t="shared" si="57"/>
        <v>0</v>
      </c>
      <c r="O362" s="10">
        <f t="shared" si="58"/>
        <v>0</v>
      </c>
      <c r="P362" s="10">
        <f t="shared" si="59"/>
        <v>0</v>
      </c>
      <c r="Q362" s="11">
        <f t="shared" si="60"/>
        <v>0</v>
      </c>
      <c r="S362" s="92">
        <f t="shared" si="53"/>
      </c>
      <c r="V362" s="104"/>
    </row>
    <row r="363" spans="2:22" ht="12.75">
      <c r="B363" s="9">
        <v>355</v>
      </c>
      <c r="C363" s="9" t="s">
        <v>33</v>
      </c>
      <c r="D363" s="10">
        <f t="shared" si="54"/>
        <v>0</v>
      </c>
      <c r="E363" s="10">
        <f t="shared" si="55"/>
        <v>0</v>
      </c>
      <c r="F363" s="10">
        <f t="shared" si="56"/>
        <v>0</v>
      </c>
      <c r="G363" s="11">
        <f t="shared" si="61"/>
        <v>0</v>
      </c>
      <c r="H363" s="9"/>
      <c r="I363" s="92">
        <f t="shared" si="52"/>
      </c>
      <c r="L363" s="9">
        <v>355</v>
      </c>
      <c r="M363" s="9" t="s">
        <v>33</v>
      </c>
      <c r="N363" s="10">
        <f t="shared" si="57"/>
        <v>0</v>
      </c>
      <c r="O363" s="10">
        <f t="shared" si="58"/>
        <v>0</v>
      </c>
      <c r="P363" s="10">
        <f t="shared" si="59"/>
        <v>0</v>
      </c>
      <c r="Q363" s="11">
        <f t="shared" si="60"/>
        <v>0</v>
      </c>
      <c r="S363" s="92">
        <f t="shared" si="53"/>
      </c>
      <c r="V363" s="104"/>
    </row>
    <row r="364" spans="2:22" ht="12.75">
      <c r="B364" s="9">
        <v>356</v>
      </c>
      <c r="C364" s="9" t="s">
        <v>34</v>
      </c>
      <c r="D364" s="10">
        <f t="shared" si="54"/>
        <v>0</v>
      </c>
      <c r="E364" s="10">
        <f t="shared" si="55"/>
        <v>0</v>
      </c>
      <c r="F364" s="10">
        <f t="shared" si="56"/>
        <v>0</v>
      </c>
      <c r="G364" s="11">
        <f t="shared" si="61"/>
        <v>0</v>
      </c>
      <c r="H364" s="9"/>
      <c r="I364" s="92">
        <f t="shared" si="52"/>
      </c>
      <c r="L364" s="9">
        <v>356</v>
      </c>
      <c r="M364" s="9" t="s">
        <v>34</v>
      </c>
      <c r="N364" s="10">
        <f t="shared" si="57"/>
        <v>0</v>
      </c>
      <c r="O364" s="10">
        <f t="shared" si="58"/>
        <v>0</v>
      </c>
      <c r="P364" s="10">
        <f t="shared" si="59"/>
        <v>0</v>
      </c>
      <c r="Q364" s="11">
        <f t="shared" si="60"/>
        <v>0</v>
      </c>
      <c r="S364" s="92">
        <f t="shared" si="53"/>
      </c>
      <c r="V364" s="104"/>
    </row>
    <row r="365" spans="2:22" ht="12.75">
      <c r="B365" s="9">
        <v>357</v>
      </c>
      <c r="C365" s="9" t="s">
        <v>35</v>
      </c>
      <c r="D365" s="10">
        <f t="shared" si="54"/>
        <v>0</v>
      </c>
      <c r="E365" s="10">
        <f t="shared" si="55"/>
        <v>0</v>
      </c>
      <c r="F365" s="10">
        <f t="shared" si="56"/>
        <v>0</v>
      </c>
      <c r="G365" s="11">
        <f t="shared" si="61"/>
        <v>0</v>
      </c>
      <c r="H365" s="9"/>
      <c r="I365" s="92">
        <f>IF(E365&gt;0,B365,"")</f>
      </c>
      <c r="L365" s="9">
        <v>357</v>
      </c>
      <c r="M365" s="9" t="s">
        <v>35</v>
      </c>
      <c r="N365" s="10">
        <f t="shared" si="57"/>
        <v>0</v>
      </c>
      <c r="O365" s="10">
        <f t="shared" si="58"/>
        <v>0</v>
      </c>
      <c r="P365" s="10">
        <f t="shared" si="59"/>
        <v>0</v>
      </c>
      <c r="Q365" s="11">
        <f t="shared" si="60"/>
        <v>0</v>
      </c>
      <c r="S365" s="92">
        <f t="shared" si="53"/>
      </c>
      <c r="V365" s="104"/>
    </row>
    <row r="366" spans="2:22" ht="12.75">
      <c r="B366" s="9">
        <v>358</v>
      </c>
      <c r="C366" s="9" t="s">
        <v>36</v>
      </c>
      <c r="D366" s="10">
        <f t="shared" si="54"/>
        <v>0</v>
      </c>
      <c r="E366" s="10">
        <f t="shared" si="55"/>
        <v>0</v>
      </c>
      <c r="F366" s="10">
        <f t="shared" si="56"/>
        <v>0</v>
      </c>
      <c r="G366" s="11">
        <f t="shared" si="61"/>
        <v>0</v>
      </c>
      <c r="H366" s="9"/>
      <c r="I366" s="92">
        <f>IF(E366&gt;0,B366,"")</f>
      </c>
      <c r="L366" s="9">
        <v>358</v>
      </c>
      <c r="M366" s="9" t="s">
        <v>36</v>
      </c>
      <c r="N366" s="10">
        <f t="shared" si="57"/>
        <v>0</v>
      </c>
      <c r="O366" s="10">
        <f t="shared" si="58"/>
        <v>0</v>
      </c>
      <c r="P366" s="10">
        <f t="shared" si="59"/>
        <v>0</v>
      </c>
      <c r="Q366" s="11">
        <f t="shared" si="60"/>
        <v>0</v>
      </c>
      <c r="S366" s="92">
        <f t="shared" si="53"/>
      </c>
      <c r="V366" s="104"/>
    </row>
    <row r="367" spans="2:22" ht="12.75">
      <c r="B367" s="9">
        <v>359</v>
      </c>
      <c r="C367" s="9" t="s">
        <v>37</v>
      </c>
      <c r="D367" s="10">
        <f t="shared" si="54"/>
        <v>0</v>
      </c>
      <c r="E367" s="10">
        <f t="shared" si="55"/>
        <v>0</v>
      </c>
      <c r="F367" s="10">
        <f t="shared" si="56"/>
        <v>0</v>
      </c>
      <c r="G367" s="11">
        <f t="shared" si="61"/>
        <v>0</v>
      </c>
      <c r="H367" s="9"/>
      <c r="I367" s="92">
        <f>IF(E367&gt;0,B367,"")</f>
      </c>
      <c r="L367" s="9">
        <v>359</v>
      </c>
      <c r="M367" s="9" t="s">
        <v>37</v>
      </c>
      <c r="N367" s="10">
        <f t="shared" si="57"/>
        <v>0</v>
      </c>
      <c r="O367" s="10">
        <f t="shared" si="58"/>
        <v>0</v>
      </c>
      <c r="P367" s="10">
        <f t="shared" si="59"/>
        <v>0</v>
      </c>
      <c r="Q367" s="11">
        <f t="shared" si="60"/>
        <v>0</v>
      </c>
      <c r="S367" s="92">
        <f t="shared" si="53"/>
      </c>
      <c r="V367" s="104"/>
    </row>
    <row r="368" spans="2:22" ht="12.75">
      <c r="B368" s="9">
        <v>360</v>
      </c>
      <c r="C368" s="9" t="s">
        <v>38</v>
      </c>
      <c r="D368" s="10">
        <f t="shared" si="54"/>
        <v>0</v>
      </c>
      <c r="E368" s="10">
        <f t="shared" si="55"/>
        <v>0</v>
      </c>
      <c r="F368" s="10">
        <f t="shared" si="56"/>
        <v>0</v>
      </c>
      <c r="G368" s="11">
        <f t="shared" si="61"/>
        <v>0</v>
      </c>
      <c r="H368" s="9"/>
      <c r="I368" s="92">
        <f>IF(E368&gt;0,B368,"")</f>
      </c>
      <c r="L368" s="9">
        <v>360</v>
      </c>
      <c r="M368" s="9" t="s">
        <v>38</v>
      </c>
      <c r="N368" s="10">
        <f t="shared" si="57"/>
        <v>0</v>
      </c>
      <c r="O368" s="10">
        <f t="shared" si="58"/>
        <v>0</v>
      </c>
      <c r="P368" s="10">
        <f t="shared" si="59"/>
        <v>0</v>
      </c>
      <c r="Q368" s="11">
        <f t="shared" si="60"/>
        <v>0</v>
      </c>
      <c r="S368" s="92">
        <f t="shared" si="53"/>
      </c>
      <c r="V368" s="104"/>
    </row>
    <row r="369" spans="3:22" ht="12.75">
      <c r="C369" s="102" t="s">
        <v>81</v>
      </c>
      <c r="D369" s="10">
        <f>SUM(D9:D368)</f>
        <v>485443.4043294741</v>
      </c>
      <c r="E369" s="10">
        <f>SUM(E9:E368)</f>
        <v>104235.73530144132</v>
      </c>
      <c r="F369" s="10">
        <f>SUM(F9:F368)</f>
        <v>381207.66902803053</v>
      </c>
      <c r="H369" s="10">
        <f>SUM(H9:H368)</f>
        <v>16429.830971969714</v>
      </c>
      <c r="K369">
        <v>30</v>
      </c>
      <c r="M369" s="102" t="s">
        <v>81</v>
      </c>
      <c r="N369" s="10">
        <f>SUM(N9:N368)</f>
        <v>505702.22790745005</v>
      </c>
      <c r="O369" s="10">
        <f>SUM(O9:O368)</f>
        <v>108064.72790744765</v>
      </c>
      <c r="P369" s="10">
        <f>SUM(P9:P368)</f>
        <v>397637.50000000006</v>
      </c>
      <c r="T369" s="128">
        <f>SUM(N357:N368)</f>
        <v>0</v>
      </c>
      <c r="U369" s="128">
        <f>(SUM(N357:N368)+U357)</f>
        <v>505702.2279074476</v>
      </c>
      <c r="V369" s="104"/>
    </row>
    <row r="370" spans="7:22" ht="12.75">
      <c r="G370" s="6"/>
      <c r="V370" s="104"/>
    </row>
    <row r="371" ht="12.75">
      <c r="V371" s="104"/>
    </row>
    <row r="372" spans="14:22" ht="13.5" thickBot="1">
      <c r="N372" s="6"/>
      <c r="V372" s="104"/>
    </row>
    <row r="373" spans="2:22" ht="18.75" thickBot="1">
      <c r="B373" s="610" t="s">
        <v>248</v>
      </c>
      <c r="C373" s="611"/>
      <c r="D373" s="611"/>
      <c r="E373" s="611"/>
      <c r="F373" s="611"/>
      <c r="G373" s="611"/>
      <c r="H373" s="612"/>
      <c r="L373" s="610" t="s">
        <v>70</v>
      </c>
      <c r="M373" s="611"/>
      <c r="N373" s="611"/>
      <c r="O373" s="611"/>
      <c r="P373" s="611"/>
      <c r="Q373" s="611"/>
      <c r="R373" s="612"/>
      <c r="V373" s="104"/>
    </row>
    <row r="374" ht="13.5" thickBot="1">
      <c r="V374" s="104"/>
    </row>
    <row r="375" spans="2:22" ht="12.75">
      <c r="B375" s="606" t="s">
        <v>116</v>
      </c>
      <c r="C375" s="607"/>
      <c r="D375" s="275" t="s">
        <v>79</v>
      </c>
      <c r="E375" s="146" t="s">
        <v>21</v>
      </c>
      <c r="F375" s="141" t="s">
        <v>26</v>
      </c>
      <c r="G375" s="141" t="s">
        <v>82</v>
      </c>
      <c r="H375" s="147" t="s">
        <v>9</v>
      </c>
      <c r="N375" s="142" t="s">
        <v>79</v>
      </c>
      <c r="O375" s="146" t="s">
        <v>21</v>
      </c>
      <c r="P375" s="141" t="s">
        <v>26</v>
      </c>
      <c r="Q375" s="147" t="s">
        <v>82</v>
      </c>
      <c r="V375" s="104"/>
    </row>
    <row r="376" spans="2:22" ht="13.5" thickBot="1">
      <c r="B376" s="608" t="s">
        <v>39</v>
      </c>
      <c r="C376" s="609"/>
      <c r="D376" s="290">
        <f>G376*((1+(E376/1200))^(12*Detailergebnis!J5))*((1+(E376/1200))-1)/(((1+(E376/1200))^(12*Detailergebnis!J5))-1)</f>
        <v>448.82757486428903</v>
      </c>
      <c r="E376" s="149">
        <f>Detailergebnis!I36*100</f>
        <v>0.75</v>
      </c>
      <c r="F376" s="150">
        <f>(G376-G393)/G376</f>
        <v>0.046519001575948495</v>
      </c>
      <c r="G376" s="155">
        <f>Detailergebnis!J8</f>
        <v>100000</v>
      </c>
      <c r="H376" s="156">
        <v>0.1</v>
      </c>
      <c r="I376" s="152"/>
      <c r="J376" s="153"/>
      <c r="K376" s="152"/>
      <c r="L376" s="152"/>
      <c r="N376" s="154">
        <f>D5-D376</f>
        <v>1658.265041416751</v>
      </c>
      <c r="O376" s="149">
        <f>Detailergebnis!J6</f>
        <v>2.5</v>
      </c>
      <c r="P376" s="150">
        <f>(Q376-Q393)/Q376</f>
        <v>0.03405566035607143</v>
      </c>
      <c r="Q376" s="151">
        <f>Detailergebnis!I33-Detailergebnis!J8</f>
        <v>339187.5</v>
      </c>
      <c r="V376" s="104"/>
    </row>
    <row r="377" spans="4:22" ht="13.5" thickBot="1">
      <c r="D377" s="7"/>
      <c r="N377" s="7"/>
      <c r="Q377" s="6"/>
      <c r="V377" s="104"/>
    </row>
    <row r="378" spans="4:22" ht="13.5" thickBot="1">
      <c r="D378" s="93"/>
      <c r="E378" s="94" t="s">
        <v>12</v>
      </c>
      <c r="F378" s="95">
        <v>120</v>
      </c>
      <c r="G378" s="94" t="s">
        <v>24</v>
      </c>
      <c r="H378" s="282">
        <f>SUM(G501)</f>
        <v>41188.81976186798</v>
      </c>
      <c r="N378" s="93"/>
      <c r="O378" s="94" t="s">
        <v>12</v>
      </c>
      <c r="P378" s="95">
        <f>LARGE(S382:S831,1)</f>
        <v>247</v>
      </c>
      <c r="V378" s="104"/>
    </row>
    <row r="379" ht="12.75">
      <c r="V379" s="104"/>
    </row>
    <row r="380" spans="2:22" ht="15">
      <c r="B380" s="137" t="s">
        <v>22</v>
      </c>
      <c r="C380" s="137" t="s">
        <v>23</v>
      </c>
      <c r="D380" s="138" t="s">
        <v>83</v>
      </c>
      <c r="E380" s="138" t="s">
        <v>41</v>
      </c>
      <c r="F380" s="138" t="s">
        <v>84</v>
      </c>
      <c r="G380" s="139" t="s">
        <v>24</v>
      </c>
      <c r="H380" s="138" t="s">
        <v>9</v>
      </c>
      <c r="L380" s="137" t="s">
        <v>22</v>
      </c>
      <c r="M380" s="137" t="s">
        <v>23</v>
      </c>
      <c r="N380" s="138" t="s">
        <v>83</v>
      </c>
      <c r="O380" s="138" t="s">
        <v>41</v>
      </c>
      <c r="P380" s="138" t="s">
        <v>84</v>
      </c>
      <c r="Q380" s="139" t="s">
        <v>24</v>
      </c>
      <c r="R380" s="137" t="s">
        <v>25</v>
      </c>
      <c r="V380" s="104"/>
    </row>
    <row r="381" spans="2:22" ht="12.75">
      <c r="B381" s="9"/>
      <c r="C381" s="9"/>
      <c r="D381" s="10"/>
      <c r="E381" s="10"/>
      <c r="F381" s="10"/>
      <c r="G381" s="11"/>
      <c r="H381" s="90"/>
      <c r="L381" s="9"/>
      <c r="M381" s="9"/>
      <c r="N381" s="10"/>
      <c r="O381" s="10"/>
      <c r="P381" s="10"/>
      <c r="Q381" s="11"/>
      <c r="R381" s="9"/>
      <c r="V381" s="104"/>
    </row>
    <row r="382" spans="2:22" ht="12.75">
      <c r="B382" s="9">
        <v>1</v>
      </c>
      <c r="C382" s="9" t="s">
        <v>27</v>
      </c>
      <c r="D382" s="10">
        <f>D376</f>
        <v>448.82757486428903</v>
      </c>
      <c r="E382" s="10">
        <f>G376/100*E376/12</f>
        <v>62.5</v>
      </c>
      <c r="F382" s="10">
        <f>D382-E382</f>
        <v>386.32757486428903</v>
      </c>
      <c r="G382" s="11">
        <f>G376-F382-H381</f>
        <v>99613.67242513571</v>
      </c>
      <c r="H382" s="90"/>
      <c r="I382" s="92">
        <f aca="true" t="shared" si="62" ref="I382:I427">IF(E382&gt;0,B382,"")</f>
        <v>1</v>
      </c>
      <c r="L382" s="9">
        <v>1</v>
      </c>
      <c r="M382" s="9" t="s">
        <v>27</v>
      </c>
      <c r="N382" s="10">
        <f>N376</f>
        <v>1658.265041416751</v>
      </c>
      <c r="O382" s="10">
        <f>Q376/100*O376/12</f>
        <v>706.640625</v>
      </c>
      <c r="P382" s="10">
        <f>N382-O382</f>
        <v>951.624416416751</v>
      </c>
      <c r="Q382" s="11">
        <f>Q376-P382-R382</f>
        <v>338235.87558358326</v>
      </c>
      <c r="R382" s="9"/>
      <c r="S382" s="92">
        <f>IF(O382&gt;0,L382,"")</f>
        <v>1</v>
      </c>
      <c r="V382" s="104">
        <f aca="true" t="shared" si="63" ref="V382:V445">SUM(D382+N382+R383)</f>
        <v>2107.09261628104</v>
      </c>
    </row>
    <row r="383" spans="2:22" ht="12.75">
      <c r="B383" s="9">
        <v>2</v>
      </c>
      <c r="C383" s="9" t="s">
        <v>28</v>
      </c>
      <c r="D383" s="10">
        <f aca="true" t="shared" si="64" ref="D383:D446">IF(G382&lt;D$376,G382+E383,D$376)</f>
        <v>448.82757486428903</v>
      </c>
      <c r="E383" s="10">
        <f aca="true" t="shared" si="65" ref="E383:E446">IF(G382/100*E$376/12&lt;0,0,G382/100*E$376/12)</f>
        <v>62.25854526570982</v>
      </c>
      <c r="F383" s="10">
        <f aca="true" t="shared" si="66" ref="F383:F446">D383-E383</f>
        <v>386.5690295985792</v>
      </c>
      <c r="G383" s="11">
        <f>G382-F383-H382</f>
        <v>99227.10339553712</v>
      </c>
      <c r="H383" s="90"/>
      <c r="I383" s="92">
        <f t="shared" si="62"/>
        <v>2</v>
      </c>
      <c r="L383" s="9">
        <v>2</v>
      </c>
      <c r="M383" s="9" t="s">
        <v>28</v>
      </c>
      <c r="N383" s="10">
        <f aca="true" t="shared" si="67" ref="N383:N446">IF(Q382&lt;N$376,Q382+O383,N$376)</f>
        <v>1658.265041416751</v>
      </c>
      <c r="O383" s="10">
        <f aca="true" t="shared" si="68" ref="O383:O446">IF(Q382/100*O$376/12&lt;0,0,Q382/100*O$376/12)</f>
        <v>704.6580741324651</v>
      </c>
      <c r="P383" s="10">
        <f aca="true" t="shared" si="69" ref="P383:P446">N383-O383</f>
        <v>953.6069672842859</v>
      </c>
      <c r="Q383" s="11">
        <f>Q382-P383</f>
        <v>337282.26861629897</v>
      </c>
      <c r="R383" s="9"/>
      <c r="S383" s="92">
        <f aca="true" t="shared" si="70" ref="S383:S445">IF(O383&gt;0,L383,"")</f>
        <v>2</v>
      </c>
      <c r="V383" s="104">
        <f t="shared" si="63"/>
        <v>2107.09261628104</v>
      </c>
    </row>
    <row r="384" spans="2:22" ht="12.75">
      <c r="B384" s="9">
        <v>3</v>
      </c>
      <c r="C384" s="9" t="s">
        <v>29</v>
      </c>
      <c r="D384" s="10">
        <f t="shared" si="64"/>
        <v>448.82757486428903</v>
      </c>
      <c r="E384" s="10">
        <f t="shared" si="65"/>
        <v>62.01693962221069</v>
      </c>
      <c r="F384" s="10">
        <f t="shared" si="66"/>
        <v>386.8106352420783</v>
      </c>
      <c r="G384" s="11">
        <f>G383-F384-H383</f>
        <v>98840.29276029505</v>
      </c>
      <c r="H384" s="90"/>
      <c r="I384" s="92">
        <f t="shared" si="62"/>
        <v>3</v>
      </c>
      <c r="L384" s="9">
        <v>3</v>
      </c>
      <c r="M384" s="9" t="s">
        <v>29</v>
      </c>
      <c r="N384" s="10">
        <f t="shared" si="67"/>
        <v>1658.265041416751</v>
      </c>
      <c r="O384" s="10">
        <f t="shared" si="68"/>
        <v>702.6713929506228</v>
      </c>
      <c r="P384" s="10">
        <f t="shared" si="69"/>
        <v>955.5936484661282</v>
      </c>
      <c r="Q384" s="11">
        <f>Q383-P384-R384</f>
        <v>336326.67496783286</v>
      </c>
      <c r="R384" s="9"/>
      <c r="S384" s="92">
        <f t="shared" si="70"/>
        <v>3</v>
      </c>
      <c r="V384" s="104">
        <f t="shared" si="63"/>
        <v>2107.09261628104</v>
      </c>
    </row>
    <row r="385" spans="2:22" ht="12.75">
      <c r="B385" s="9">
        <v>4</v>
      </c>
      <c r="C385" s="9" t="s">
        <v>30</v>
      </c>
      <c r="D385" s="10">
        <f t="shared" si="64"/>
        <v>448.82757486428903</v>
      </c>
      <c r="E385" s="10">
        <f t="shared" si="65"/>
        <v>61.77518297518441</v>
      </c>
      <c r="F385" s="10">
        <f t="shared" si="66"/>
        <v>387.0523918891046</v>
      </c>
      <c r="G385" s="11">
        <f aca="true" t="shared" si="71" ref="G385:G446">G384-F385-H384</f>
        <v>98453.24036840595</v>
      </c>
      <c r="H385" s="90"/>
      <c r="I385" s="92">
        <f t="shared" si="62"/>
        <v>4</v>
      </c>
      <c r="L385" s="9">
        <v>4</v>
      </c>
      <c r="M385" s="9" t="s">
        <v>30</v>
      </c>
      <c r="N385" s="10">
        <f t="shared" si="67"/>
        <v>1658.265041416751</v>
      </c>
      <c r="O385" s="10">
        <f t="shared" si="68"/>
        <v>700.6805728496519</v>
      </c>
      <c r="P385" s="10">
        <f t="shared" si="69"/>
        <v>957.5844685670992</v>
      </c>
      <c r="Q385" s="11">
        <f aca="true" t="shared" si="72" ref="Q385:Q448">Q384-P385-R385</f>
        <v>335369.09049926576</v>
      </c>
      <c r="R385" s="9"/>
      <c r="S385" s="92">
        <f t="shared" si="70"/>
        <v>4</v>
      </c>
      <c r="V385" s="104">
        <f t="shared" si="63"/>
        <v>2107.09261628104</v>
      </c>
    </row>
    <row r="386" spans="2:22" ht="12.75">
      <c r="B386" s="9">
        <v>5</v>
      </c>
      <c r="C386" s="9" t="s">
        <v>31</v>
      </c>
      <c r="D386" s="10">
        <f t="shared" si="64"/>
        <v>448.82757486428903</v>
      </c>
      <c r="E386" s="10">
        <f t="shared" si="65"/>
        <v>61.53327523025373</v>
      </c>
      <c r="F386" s="10">
        <f t="shared" si="66"/>
        <v>387.2942996340353</v>
      </c>
      <c r="G386" s="11">
        <f t="shared" si="71"/>
        <v>98065.94606877191</v>
      </c>
      <c r="H386" s="90"/>
      <c r="I386" s="92">
        <f t="shared" si="62"/>
        <v>5</v>
      </c>
      <c r="L386" s="9">
        <v>5</v>
      </c>
      <c r="M386" s="9" t="s">
        <v>31</v>
      </c>
      <c r="N386" s="10">
        <f t="shared" si="67"/>
        <v>1658.265041416751</v>
      </c>
      <c r="O386" s="10">
        <f t="shared" si="68"/>
        <v>698.6856052068036</v>
      </c>
      <c r="P386" s="10">
        <f t="shared" si="69"/>
        <v>959.5794362099474</v>
      </c>
      <c r="Q386" s="11">
        <f t="shared" si="72"/>
        <v>334409.51106305583</v>
      </c>
      <c r="R386" s="9"/>
      <c r="S386" s="92">
        <f t="shared" si="70"/>
        <v>5</v>
      </c>
      <c r="V386" s="104">
        <f t="shared" si="63"/>
        <v>2107.09261628104</v>
      </c>
    </row>
    <row r="387" spans="2:22" ht="12.75">
      <c r="B387" s="9">
        <v>6</v>
      </c>
      <c r="C387" s="9" t="s">
        <v>32</v>
      </c>
      <c r="D387" s="10">
        <f t="shared" si="64"/>
        <v>448.82757486428903</v>
      </c>
      <c r="E387" s="10">
        <f t="shared" si="65"/>
        <v>61.29121629298245</v>
      </c>
      <c r="F387" s="10">
        <f t="shared" si="66"/>
        <v>387.5363585713066</v>
      </c>
      <c r="G387" s="11">
        <f t="shared" si="71"/>
        <v>97678.4097102006</v>
      </c>
      <c r="H387" s="90"/>
      <c r="I387" s="92">
        <f t="shared" si="62"/>
        <v>6</v>
      </c>
      <c r="L387" s="9">
        <v>6</v>
      </c>
      <c r="M387" s="9" t="s">
        <v>32</v>
      </c>
      <c r="N387" s="10">
        <f t="shared" si="67"/>
        <v>1658.265041416751</v>
      </c>
      <c r="O387" s="10">
        <f t="shared" si="68"/>
        <v>696.6864813813663</v>
      </c>
      <c r="P387" s="10">
        <f t="shared" si="69"/>
        <v>961.5785600353847</v>
      </c>
      <c r="Q387" s="11">
        <f t="shared" si="72"/>
        <v>333447.93250302045</v>
      </c>
      <c r="R387" s="9"/>
      <c r="S387" s="92">
        <f t="shared" si="70"/>
        <v>6</v>
      </c>
      <c r="V387" s="104">
        <f t="shared" si="63"/>
        <v>2107.09261628104</v>
      </c>
    </row>
    <row r="388" spans="2:22" ht="12.75">
      <c r="B388" s="9">
        <v>7</v>
      </c>
      <c r="C388" s="9" t="s">
        <v>33</v>
      </c>
      <c r="D388" s="10">
        <f t="shared" si="64"/>
        <v>448.82757486428903</v>
      </c>
      <c r="E388" s="10">
        <f t="shared" si="65"/>
        <v>61.04900606887538</v>
      </c>
      <c r="F388" s="10">
        <f t="shared" si="66"/>
        <v>387.77856879541366</v>
      </c>
      <c r="G388" s="11">
        <f t="shared" si="71"/>
        <v>97290.63114140519</v>
      </c>
      <c r="H388" s="90"/>
      <c r="I388" s="92">
        <f t="shared" si="62"/>
        <v>7</v>
      </c>
      <c r="L388" s="9">
        <v>7</v>
      </c>
      <c r="M388" s="9" t="s">
        <v>33</v>
      </c>
      <c r="N388" s="10">
        <f t="shared" si="67"/>
        <v>1658.265041416751</v>
      </c>
      <c r="O388" s="10">
        <f t="shared" si="68"/>
        <v>694.6831927146259</v>
      </c>
      <c r="P388" s="10">
        <f t="shared" si="69"/>
        <v>963.5818487021252</v>
      </c>
      <c r="Q388" s="11">
        <f t="shared" si="72"/>
        <v>332484.35065431835</v>
      </c>
      <c r="R388" s="9"/>
      <c r="S388" s="92">
        <f t="shared" si="70"/>
        <v>7</v>
      </c>
      <c r="V388" s="104">
        <f t="shared" si="63"/>
        <v>2107.09261628104</v>
      </c>
    </row>
    <row r="389" spans="2:22" ht="12.75">
      <c r="B389" s="9">
        <v>8</v>
      </c>
      <c r="C389" s="9" t="s">
        <v>34</v>
      </c>
      <c r="D389" s="10">
        <f t="shared" si="64"/>
        <v>448.82757486428903</v>
      </c>
      <c r="E389" s="10">
        <f t="shared" si="65"/>
        <v>60.80664446337824</v>
      </c>
      <c r="F389" s="10">
        <f t="shared" si="66"/>
        <v>388.0209304009108</v>
      </c>
      <c r="G389" s="11">
        <f t="shared" si="71"/>
        <v>96902.61021100428</v>
      </c>
      <c r="H389" s="90"/>
      <c r="I389" s="92">
        <f t="shared" si="62"/>
        <v>8</v>
      </c>
      <c r="L389" s="9">
        <v>8</v>
      </c>
      <c r="M389" s="9" t="s">
        <v>34</v>
      </c>
      <c r="N389" s="10">
        <f t="shared" si="67"/>
        <v>1658.265041416751</v>
      </c>
      <c r="O389" s="10">
        <f t="shared" si="68"/>
        <v>692.6757305298298</v>
      </c>
      <c r="P389" s="10">
        <f t="shared" si="69"/>
        <v>965.5893108869212</v>
      </c>
      <c r="Q389" s="11">
        <f t="shared" si="72"/>
        <v>331518.7613434314</v>
      </c>
      <c r="R389" s="9"/>
      <c r="S389" s="92">
        <f t="shared" si="70"/>
        <v>8</v>
      </c>
      <c r="V389" s="104">
        <f t="shared" si="63"/>
        <v>2107.09261628104</v>
      </c>
    </row>
    <row r="390" spans="2:22" ht="12.75">
      <c r="B390" s="9">
        <v>9</v>
      </c>
      <c r="C390" s="9" t="s">
        <v>35</v>
      </c>
      <c r="D390" s="10">
        <f t="shared" si="64"/>
        <v>448.82757486428903</v>
      </c>
      <c r="E390" s="10">
        <f t="shared" si="65"/>
        <v>60.56413138187768</v>
      </c>
      <c r="F390" s="10">
        <f t="shared" si="66"/>
        <v>388.26344348241133</v>
      </c>
      <c r="G390" s="11">
        <f t="shared" si="71"/>
        <v>96514.34676752187</v>
      </c>
      <c r="H390" s="90"/>
      <c r="I390" s="92">
        <f t="shared" si="62"/>
        <v>9</v>
      </c>
      <c r="L390" s="9">
        <v>9</v>
      </c>
      <c r="M390" s="9" t="s">
        <v>35</v>
      </c>
      <c r="N390" s="10">
        <f t="shared" si="67"/>
        <v>1658.265041416751</v>
      </c>
      <c r="O390" s="10">
        <f t="shared" si="68"/>
        <v>690.6640861321488</v>
      </c>
      <c r="P390" s="10">
        <f t="shared" si="69"/>
        <v>967.6009552846023</v>
      </c>
      <c r="Q390" s="11">
        <f t="shared" si="72"/>
        <v>330551.1603881468</v>
      </c>
      <c r="R390" s="9"/>
      <c r="S390" s="92">
        <f t="shared" si="70"/>
        <v>9</v>
      </c>
      <c r="V390" s="104">
        <f t="shared" si="63"/>
        <v>2107.09261628104</v>
      </c>
    </row>
    <row r="391" spans="2:22" ht="12.75">
      <c r="B391" s="9">
        <v>10</v>
      </c>
      <c r="C391" s="9" t="s">
        <v>36</v>
      </c>
      <c r="D391" s="10">
        <f t="shared" si="64"/>
        <v>448.82757486428903</v>
      </c>
      <c r="E391" s="10">
        <f t="shared" si="65"/>
        <v>60.32146672970117</v>
      </c>
      <c r="F391" s="10">
        <f t="shared" si="66"/>
        <v>388.50610813458786</v>
      </c>
      <c r="G391" s="11">
        <f>G390-F391-H390</f>
        <v>96125.84065938728</v>
      </c>
      <c r="H391" s="90"/>
      <c r="I391" s="92">
        <f t="shared" si="62"/>
        <v>10</v>
      </c>
      <c r="L391" s="9">
        <v>10</v>
      </c>
      <c r="M391" s="9" t="s">
        <v>36</v>
      </c>
      <c r="N391" s="10">
        <f t="shared" si="67"/>
        <v>1658.265041416751</v>
      </c>
      <c r="O391" s="10">
        <f t="shared" si="68"/>
        <v>688.6482508086392</v>
      </c>
      <c r="P391" s="10">
        <f t="shared" si="69"/>
        <v>969.6167906081118</v>
      </c>
      <c r="Q391" s="11">
        <f t="shared" si="72"/>
        <v>329581.5435975387</v>
      </c>
      <c r="R391" s="9"/>
      <c r="S391" s="92">
        <f t="shared" si="70"/>
        <v>10</v>
      </c>
      <c r="V391" s="104">
        <f t="shared" si="63"/>
        <v>2107.09261628104</v>
      </c>
    </row>
    <row r="392" spans="2:22" ht="12.75">
      <c r="B392" s="9">
        <v>11</v>
      </c>
      <c r="C392" s="9" t="s">
        <v>37</v>
      </c>
      <c r="D392" s="10">
        <f t="shared" si="64"/>
        <v>448.82757486428903</v>
      </c>
      <c r="E392" s="10">
        <f t="shared" si="65"/>
        <v>60.07865041211705</v>
      </c>
      <c r="F392" s="10">
        <f t="shared" si="66"/>
        <v>388.748924452172</v>
      </c>
      <c r="G392" s="11">
        <f t="shared" si="71"/>
        <v>95737.09173493511</v>
      </c>
      <c r="H392" s="90"/>
      <c r="I392" s="92">
        <f t="shared" si="62"/>
        <v>11</v>
      </c>
      <c r="L392" s="9">
        <v>11</v>
      </c>
      <c r="M392" s="9" t="s">
        <v>37</v>
      </c>
      <c r="N392" s="10">
        <f t="shared" si="67"/>
        <v>1658.265041416751</v>
      </c>
      <c r="O392" s="10">
        <f t="shared" si="68"/>
        <v>686.6282158282056</v>
      </c>
      <c r="P392" s="10">
        <f t="shared" si="69"/>
        <v>971.6368255885454</v>
      </c>
      <c r="Q392" s="11">
        <f t="shared" si="72"/>
        <v>328609.9067719502</v>
      </c>
      <c r="R392" s="9"/>
      <c r="S392" s="92">
        <f t="shared" si="70"/>
        <v>11</v>
      </c>
      <c r="V392" s="104">
        <f t="shared" si="63"/>
        <v>2107.09261628104</v>
      </c>
    </row>
    <row r="393" spans="2:22" ht="12.75">
      <c r="B393" s="9">
        <v>12</v>
      </c>
      <c r="C393" s="9" t="s">
        <v>38</v>
      </c>
      <c r="D393" s="10">
        <f t="shared" si="64"/>
        <v>448.82757486428903</v>
      </c>
      <c r="E393" s="10">
        <f t="shared" si="65"/>
        <v>59.83568233433444</v>
      </c>
      <c r="F393" s="10">
        <f t="shared" si="66"/>
        <v>388.9918925299546</v>
      </c>
      <c r="G393" s="11">
        <f>G392-F393-H392</f>
        <v>95348.09984240515</v>
      </c>
      <c r="H393" s="90"/>
      <c r="I393" s="92">
        <f t="shared" si="62"/>
        <v>12</v>
      </c>
      <c r="L393" s="9">
        <v>12</v>
      </c>
      <c r="M393" s="9" t="s">
        <v>38</v>
      </c>
      <c r="N393" s="10">
        <f t="shared" si="67"/>
        <v>1658.265041416751</v>
      </c>
      <c r="O393" s="10">
        <f t="shared" si="68"/>
        <v>684.6039724415629</v>
      </c>
      <c r="P393" s="10">
        <f t="shared" si="69"/>
        <v>973.6610689751882</v>
      </c>
      <c r="Q393" s="11">
        <f t="shared" si="72"/>
        <v>327636.245702975</v>
      </c>
      <c r="R393" s="9"/>
      <c r="S393" s="92">
        <f t="shared" si="70"/>
        <v>12</v>
      </c>
      <c r="V393" s="104">
        <f t="shared" si="63"/>
        <v>2626.4802927516284</v>
      </c>
    </row>
    <row r="394" spans="2:23" ht="12.75">
      <c r="B394" s="84">
        <v>13</v>
      </c>
      <c r="C394" s="84" t="s">
        <v>27</v>
      </c>
      <c r="D394" s="85">
        <f t="shared" si="64"/>
        <v>448.82757486428903</v>
      </c>
      <c r="E394" s="85">
        <f t="shared" si="65"/>
        <v>59.592562401503216</v>
      </c>
      <c r="F394" s="85">
        <f t="shared" si="66"/>
        <v>389.2350124627858</v>
      </c>
      <c r="G394" s="86">
        <f>G393-F394-H393</f>
        <v>94958.86482994237</v>
      </c>
      <c r="H394" s="86">
        <f>G376*H376</f>
        <v>10000</v>
      </c>
      <c r="I394" s="92">
        <f t="shared" si="62"/>
        <v>13</v>
      </c>
      <c r="J394" s="128">
        <f>(SUM(D382:D393))</f>
        <v>5385.930898371468</v>
      </c>
      <c r="K394">
        <v>1</v>
      </c>
      <c r="L394" s="84">
        <v>13</v>
      </c>
      <c r="M394" s="84" t="s">
        <v>27</v>
      </c>
      <c r="N394" s="85">
        <f t="shared" si="67"/>
        <v>1658.265041416751</v>
      </c>
      <c r="O394" s="85">
        <f t="shared" si="68"/>
        <v>682.5755118811979</v>
      </c>
      <c r="P394" s="85">
        <f t="shared" si="69"/>
        <v>975.6895295355531</v>
      </c>
      <c r="Q394" s="86">
        <f>Q393-P394-R394</f>
        <v>326141.1684969689</v>
      </c>
      <c r="R394" s="68">
        <f>IF((Q393-P394)&gt;Energie!S9,Energie!S9,(Q393-P394))</f>
        <v>519.3876764705883</v>
      </c>
      <c r="S394" s="92">
        <f t="shared" si="70"/>
        <v>13</v>
      </c>
      <c r="T394" s="128"/>
      <c r="U394" s="128">
        <f>(SUM(N382:N393)+R394)</f>
        <v>20418.5681734716</v>
      </c>
      <c r="V394" s="104">
        <f t="shared" si="63"/>
        <v>2107.09261628104</v>
      </c>
      <c r="W394" s="104">
        <f>SUM(V382:V393)</f>
        <v>25804.499071843064</v>
      </c>
    </row>
    <row r="395" spans="2:22" ht="12.75">
      <c r="B395" s="9">
        <v>14</v>
      </c>
      <c r="C395" s="9" t="s">
        <v>28</v>
      </c>
      <c r="D395" s="10">
        <f t="shared" si="64"/>
        <v>448.82757486428903</v>
      </c>
      <c r="E395" s="10">
        <f t="shared" si="65"/>
        <v>59.34929051871398</v>
      </c>
      <c r="F395" s="10">
        <f t="shared" si="66"/>
        <v>389.47828434557505</v>
      </c>
      <c r="G395" s="11">
        <f>G394-F395-H394</f>
        <v>84569.38654559679</v>
      </c>
      <c r="I395" s="92">
        <f t="shared" si="62"/>
        <v>14</v>
      </c>
      <c r="L395" s="9">
        <v>14</v>
      </c>
      <c r="M395" s="9" t="s">
        <v>28</v>
      </c>
      <c r="N395" s="10">
        <f t="shared" si="67"/>
        <v>1658.265041416751</v>
      </c>
      <c r="O395" s="10">
        <f t="shared" si="68"/>
        <v>679.4607677020186</v>
      </c>
      <c r="P395" s="10">
        <f t="shared" si="69"/>
        <v>978.8042737147324</v>
      </c>
      <c r="Q395" s="11">
        <f>Q394-P395-R395</f>
        <v>325162.3642232542</v>
      </c>
      <c r="R395" s="9"/>
      <c r="S395" s="92">
        <f t="shared" si="70"/>
        <v>14</v>
      </c>
      <c r="V395" s="104">
        <f t="shared" si="63"/>
        <v>2107.09261628104</v>
      </c>
    </row>
    <row r="396" spans="2:22" ht="12.75">
      <c r="B396" s="9">
        <v>15</v>
      </c>
      <c r="C396" s="9" t="s">
        <v>29</v>
      </c>
      <c r="D396" s="10">
        <f t="shared" si="64"/>
        <v>448.82757486428903</v>
      </c>
      <c r="E396" s="10">
        <f t="shared" si="65"/>
        <v>52.855866590997984</v>
      </c>
      <c r="F396" s="10">
        <f t="shared" si="66"/>
        <v>395.97170827329103</v>
      </c>
      <c r="G396" s="11">
        <f>G395-F396-H395</f>
        <v>84173.4148373235</v>
      </c>
      <c r="I396" s="92">
        <f t="shared" si="62"/>
        <v>15</v>
      </c>
      <c r="L396" s="9">
        <v>15</v>
      </c>
      <c r="M396" s="9" t="s">
        <v>29</v>
      </c>
      <c r="N396" s="10">
        <f t="shared" si="67"/>
        <v>1658.265041416751</v>
      </c>
      <c r="O396" s="10">
        <f t="shared" si="68"/>
        <v>677.4215921317796</v>
      </c>
      <c r="P396" s="10">
        <f t="shared" si="69"/>
        <v>980.8434492849715</v>
      </c>
      <c r="Q396" s="11">
        <f t="shared" si="72"/>
        <v>324181.52077396924</v>
      </c>
      <c r="R396" s="9"/>
      <c r="S396" s="92">
        <f t="shared" si="70"/>
        <v>15</v>
      </c>
      <c r="V396" s="104">
        <f t="shared" si="63"/>
        <v>2107.09261628104</v>
      </c>
    </row>
    <row r="397" spans="2:22" ht="12.75">
      <c r="B397" s="9">
        <v>16</v>
      </c>
      <c r="C397" s="9" t="s">
        <v>30</v>
      </c>
      <c r="D397" s="10">
        <f t="shared" si="64"/>
        <v>448.82757486428903</v>
      </c>
      <c r="E397" s="10">
        <f t="shared" si="65"/>
        <v>52.60838427332718</v>
      </c>
      <c r="F397" s="10">
        <f t="shared" si="66"/>
        <v>396.21919059096183</v>
      </c>
      <c r="G397" s="11">
        <f>G396-F397-H396</f>
        <v>83777.19564673254</v>
      </c>
      <c r="I397" s="92">
        <f t="shared" si="62"/>
        <v>16</v>
      </c>
      <c r="L397" s="9">
        <v>16</v>
      </c>
      <c r="M397" s="9" t="s">
        <v>30</v>
      </c>
      <c r="N397" s="10">
        <f t="shared" si="67"/>
        <v>1658.265041416751</v>
      </c>
      <c r="O397" s="10">
        <f t="shared" si="68"/>
        <v>675.3781682791026</v>
      </c>
      <c r="P397" s="10">
        <f t="shared" si="69"/>
        <v>982.8868731376484</v>
      </c>
      <c r="Q397" s="11">
        <f t="shared" si="72"/>
        <v>323198.63390083157</v>
      </c>
      <c r="R397" s="9"/>
      <c r="S397" s="92">
        <f t="shared" si="70"/>
        <v>16</v>
      </c>
      <c r="V397" s="104">
        <f t="shared" si="63"/>
        <v>2107.09261628104</v>
      </c>
    </row>
    <row r="398" spans="2:22" ht="12.75">
      <c r="B398" s="9">
        <v>17</v>
      </c>
      <c r="C398" s="9" t="s">
        <v>31</v>
      </c>
      <c r="D398" s="10">
        <f t="shared" si="64"/>
        <v>448.82757486428903</v>
      </c>
      <c r="E398" s="10">
        <f t="shared" si="65"/>
        <v>52.360747279207835</v>
      </c>
      <c r="F398" s="10">
        <f t="shared" si="66"/>
        <v>396.4668275850812</v>
      </c>
      <c r="G398" s="11">
        <f t="shared" si="71"/>
        <v>83380.72881914745</v>
      </c>
      <c r="I398" s="92">
        <f t="shared" si="62"/>
        <v>17</v>
      </c>
      <c r="L398" s="9">
        <v>17</v>
      </c>
      <c r="M398" s="9" t="s">
        <v>31</v>
      </c>
      <c r="N398" s="10">
        <f t="shared" si="67"/>
        <v>1658.265041416751</v>
      </c>
      <c r="O398" s="10">
        <f t="shared" si="68"/>
        <v>673.3304872933991</v>
      </c>
      <c r="P398" s="10">
        <f t="shared" si="69"/>
        <v>984.934554123352</v>
      </c>
      <c r="Q398" s="11">
        <f t="shared" si="72"/>
        <v>322213.6993467082</v>
      </c>
      <c r="R398" s="9"/>
      <c r="S398" s="92">
        <f t="shared" si="70"/>
        <v>17</v>
      </c>
      <c r="V398" s="104">
        <f t="shared" si="63"/>
        <v>2107.09261628104</v>
      </c>
    </row>
    <row r="399" spans="2:22" ht="12.75">
      <c r="B399" s="9">
        <v>18</v>
      </c>
      <c r="C399" s="9" t="s">
        <v>32</v>
      </c>
      <c r="D399" s="10">
        <f t="shared" si="64"/>
        <v>448.82757486428903</v>
      </c>
      <c r="E399" s="10">
        <f t="shared" si="65"/>
        <v>52.11295551196716</v>
      </c>
      <c r="F399" s="10">
        <f t="shared" si="66"/>
        <v>396.71461935232185</v>
      </c>
      <c r="G399" s="11">
        <f t="shared" si="71"/>
        <v>82984.01419979513</v>
      </c>
      <c r="I399" s="92">
        <f t="shared" si="62"/>
        <v>18</v>
      </c>
      <c r="L399" s="9">
        <v>18</v>
      </c>
      <c r="M399" s="9" t="s">
        <v>32</v>
      </c>
      <c r="N399" s="10">
        <f t="shared" si="67"/>
        <v>1658.265041416751</v>
      </c>
      <c r="O399" s="10">
        <f t="shared" si="68"/>
        <v>671.2785403056421</v>
      </c>
      <c r="P399" s="10">
        <f t="shared" si="69"/>
        <v>986.986501111109</v>
      </c>
      <c r="Q399" s="11">
        <f t="shared" si="72"/>
        <v>321226.71284559707</v>
      </c>
      <c r="R399" s="9"/>
      <c r="S399" s="92">
        <f t="shared" si="70"/>
        <v>18</v>
      </c>
      <c r="V399" s="104">
        <f t="shared" si="63"/>
        <v>2107.09261628104</v>
      </c>
    </row>
    <row r="400" spans="2:22" ht="12.75">
      <c r="B400" s="9">
        <v>19</v>
      </c>
      <c r="C400" s="9" t="s">
        <v>33</v>
      </c>
      <c r="D400" s="10">
        <f t="shared" si="64"/>
        <v>448.82757486428903</v>
      </c>
      <c r="E400" s="10">
        <f t="shared" si="65"/>
        <v>51.865008874871954</v>
      </c>
      <c r="F400" s="10">
        <f t="shared" si="66"/>
        <v>396.9625659894171</v>
      </c>
      <c r="G400" s="11">
        <f t="shared" si="71"/>
        <v>82587.0516338057</v>
      </c>
      <c r="I400" s="92">
        <f t="shared" si="62"/>
        <v>19</v>
      </c>
      <c r="L400" s="9">
        <v>19</v>
      </c>
      <c r="M400" s="9" t="s">
        <v>33</v>
      </c>
      <c r="N400" s="10">
        <f t="shared" si="67"/>
        <v>1658.265041416751</v>
      </c>
      <c r="O400" s="10">
        <f t="shared" si="68"/>
        <v>669.2223184283272</v>
      </c>
      <c r="P400" s="10">
        <f t="shared" si="69"/>
        <v>989.0427229884239</v>
      </c>
      <c r="Q400" s="11">
        <f t="shared" si="72"/>
        <v>320237.67012260866</v>
      </c>
      <c r="R400" s="9"/>
      <c r="S400" s="92">
        <f t="shared" si="70"/>
        <v>19</v>
      </c>
      <c r="V400" s="104">
        <f t="shared" si="63"/>
        <v>2107.09261628104</v>
      </c>
    </row>
    <row r="401" spans="2:22" ht="12.75">
      <c r="B401" s="9">
        <v>20</v>
      </c>
      <c r="C401" s="9" t="s">
        <v>34</v>
      </c>
      <c r="D401" s="10">
        <f t="shared" si="64"/>
        <v>448.82757486428903</v>
      </c>
      <c r="E401" s="10">
        <f t="shared" si="65"/>
        <v>51.61690727112856</v>
      </c>
      <c r="F401" s="10">
        <f t="shared" si="66"/>
        <v>397.21066759316045</v>
      </c>
      <c r="G401" s="11">
        <f t="shared" si="71"/>
        <v>82189.84096621255</v>
      </c>
      <c r="I401" s="92">
        <f t="shared" si="62"/>
        <v>20</v>
      </c>
      <c r="L401" s="9">
        <v>20</v>
      </c>
      <c r="M401" s="9" t="s">
        <v>34</v>
      </c>
      <c r="N401" s="10">
        <f t="shared" si="67"/>
        <v>1658.265041416751</v>
      </c>
      <c r="O401" s="10">
        <f t="shared" si="68"/>
        <v>667.1618127554347</v>
      </c>
      <c r="P401" s="10">
        <f t="shared" si="69"/>
        <v>991.1032286613164</v>
      </c>
      <c r="Q401" s="11">
        <f t="shared" si="72"/>
        <v>319246.56689394737</v>
      </c>
      <c r="R401" s="9"/>
      <c r="S401" s="92">
        <f t="shared" si="70"/>
        <v>20</v>
      </c>
      <c r="V401" s="104">
        <f t="shared" si="63"/>
        <v>2107.09261628104</v>
      </c>
    </row>
    <row r="402" spans="2:22" ht="12.75">
      <c r="B402" s="9">
        <v>21</v>
      </c>
      <c r="C402" s="9" t="s">
        <v>35</v>
      </c>
      <c r="D402" s="10">
        <f t="shared" si="64"/>
        <v>448.82757486428903</v>
      </c>
      <c r="E402" s="10">
        <f t="shared" si="65"/>
        <v>51.36865060388285</v>
      </c>
      <c r="F402" s="10">
        <f t="shared" si="66"/>
        <v>397.4589242604062</v>
      </c>
      <c r="G402" s="11">
        <f t="shared" si="71"/>
        <v>81792.38204195214</v>
      </c>
      <c r="I402" s="92">
        <f t="shared" si="62"/>
        <v>21</v>
      </c>
      <c r="L402" s="9">
        <v>21</v>
      </c>
      <c r="M402" s="9" t="s">
        <v>35</v>
      </c>
      <c r="N402" s="10">
        <f t="shared" si="67"/>
        <v>1658.265041416751</v>
      </c>
      <c r="O402" s="10">
        <f t="shared" si="68"/>
        <v>665.0970143623904</v>
      </c>
      <c r="P402" s="10">
        <f t="shared" si="69"/>
        <v>993.1680270543607</v>
      </c>
      <c r="Q402" s="11">
        <f t="shared" si="72"/>
        <v>318253.398866893</v>
      </c>
      <c r="R402" s="9"/>
      <c r="S402" s="92">
        <f t="shared" si="70"/>
        <v>21</v>
      </c>
      <c r="V402" s="104">
        <f t="shared" si="63"/>
        <v>2107.09261628104</v>
      </c>
    </row>
    <row r="403" spans="2:22" ht="12.75">
      <c r="B403" s="9">
        <v>22</v>
      </c>
      <c r="C403" s="9" t="s">
        <v>36</v>
      </c>
      <c r="D403" s="10">
        <f t="shared" si="64"/>
        <v>448.82757486428903</v>
      </c>
      <c r="E403" s="10">
        <f t="shared" si="65"/>
        <v>51.120238776220084</v>
      </c>
      <c r="F403" s="10">
        <f t="shared" si="66"/>
        <v>397.7073360880689</v>
      </c>
      <c r="G403" s="11">
        <f t="shared" si="71"/>
        <v>81394.67470586406</v>
      </c>
      <c r="I403" s="92">
        <f t="shared" si="62"/>
        <v>22</v>
      </c>
      <c r="L403" s="9">
        <v>22</v>
      </c>
      <c r="M403" s="9" t="s">
        <v>36</v>
      </c>
      <c r="N403" s="10">
        <f t="shared" si="67"/>
        <v>1658.265041416751</v>
      </c>
      <c r="O403" s="10">
        <f t="shared" si="68"/>
        <v>663.0279143060271</v>
      </c>
      <c r="P403" s="10">
        <f t="shared" si="69"/>
        <v>995.2371271107239</v>
      </c>
      <c r="Q403" s="11">
        <f t="shared" si="72"/>
        <v>317258.1617397823</v>
      </c>
      <c r="R403" s="9"/>
      <c r="S403" s="92">
        <f t="shared" si="70"/>
        <v>22</v>
      </c>
      <c r="V403" s="104">
        <f t="shared" si="63"/>
        <v>2107.09261628104</v>
      </c>
    </row>
    <row r="404" spans="2:22" ht="12.75">
      <c r="B404" s="9">
        <v>23</v>
      </c>
      <c r="C404" s="9" t="s">
        <v>37</v>
      </c>
      <c r="D404" s="10">
        <f t="shared" si="64"/>
        <v>448.82757486428903</v>
      </c>
      <c r="E404" s="10">
        <f t="shared" si="65"/>
        <v>50.87167169116504</v>
      </c>
      <c r="F404" s="10">
        <f t="shared" si="66"/>
        <v>397.955903173124</v>
      </c>
      <c r="G404" s="11">
        <f t="shared" si="71"/>
        <v>80996.71880269094</v>
      </c>
      <c r="I404" s="92">
        <f t="shared" si="62"/>
        <v>23</v>
      </c>
      <c r="L404" s="9">
        <v>23</v>
      </c>
      <c r="M404" s="9" t="s">
        <v>37</v>
      </c>
      <c r="N404" s="10">
        <f t="shared" si="67"/>
        <v>1658.265041416751</v>
      </c>
      <c r="O404" s="10">
        <f t="shared" si="68"/>
        <v>660.9545036245465</v>
      </c>
      <c r="P404" s="10">
        <f t="shared" si="69"/>
        <v>997.3105377922045</v>
      </c>
      <c r="Q404" s="11">
        <f t="shared" si="72"/>
        <v>316260.8512019901</v>
      </c>
      <c r="R404" s="9"/>
      <c r="S404" s="92">
        <f t="shared" si="70"/>
        <v>23</v>
      </c>
      <c r="V404" s="104">
        <f t="shared" si="63"/>
        <v>2107.09261628104</v>
      </c>
    </row>
    <row r="405" spans="2:22" ht="12.75">
      <c r="B405" s="9">
        <v>24</v>
      </c>
      <c r="C405" s="9" t="s">
        <v>38</v>
      </c>
      <c r="D405" s="10">
        <f t="shared" si="64"/>
        <v>448.82757486428903</v>
      </c>
      <c r="E405" s="10">
        <f t="shared" si="65"/>
        <v>50.62294925168184</v>
      </c>
      <c r="F405" s="10">
        <f t="shared" si="66"/>
        <v>398.2046256126072</v>
      </c>
      <c r="G405" s="11">
        <f t="shared" si="71"/>
        <v>80598.51417707834</v>
      </c>
      <c r="I405" s="92">
        <f t="shared" si="62"/>
        <v>24</v>
      </c>
      <c r="L405" s="9">
        <v>24</v>
      </c>
      <c r="M405" s="9" t="s">
        <v>38</v>
      </c>
      <c r="N405" s="10">
        <f t="shared" si="67"/>
        <v>1658.265041416751</v>
      </c>
      <c r="O405" s="10">
        <f t="shared" si="68"/>
        <v>658.8767733374793</v>
      </c>
      <c r="P405" s="10">
        <f t="shared" si="69"/>
        <v>999.3882680792717</v>
      </c>
      <c r="Q405" s="11">
        <f t="shared" si="72"/>
        <v>315261.46293391084</v>
      </c>
      <c r="R405" s="9"/>
      <c r="S405" s="92">
        <f t="shared" si="70"/>
        <v>24</v>
      </c>
      <c r="V405" s="104">
        <f t="shared" si="63"/>
        <v>2654.724676575158</v>
      </c>
    </row>
    <row r="406" spans="2:23" ht="12.75">
      <c r="B406" s="84">
        <v>25</v>
      </c>
      <c r="C406" s="84" t="s">
        <v>27</v>
      </c>
      <c r="D406" s="85">
        <f t="shared" si="64"/>
        <v>448.82757486428903</v>
      </c>
      <c r="E406" s="85">
        <f t="shared" si="65"/>
        <v>50.37407136067396</v>
      </c>
      <c r="F406" s="85">
        <f t="shared" si="66"/>
        <v>398.4535035036151</v>
      </c>
      <c r="G406" s="86">
        <f t="shared" si="71"/>
        <v>80200.06067357473</v>
      </c>
      <c r="I406" s="92">
        <f t="shared" si="62"/>
        <v>25</v>
      </c>
      <c r="J406" s="128">
        <f>(SUM(D394:D405)+J394)</f>
        <v>10771.861796742936</v>
      </c>
      <c r="K406">
        <v>2</v>
      </c>
      <c r="L406" s="84">
        <v>25</v>
      </c>
      <c r="M406" s="84" t="s">
        <v>27</v>
      </c>
      <c r="N406" s="85">
        <f t="shared" si="67"/>
        <v>1658.265041416751</v>
      </c>
      <c r="O406" s="85">
        <f t="shared" si="68"/>
        <v>656.7947144456476</v>
      </c>
      <c r="P406" s="85">
        <f t="shared" si="69"/>
        <v>1001.4703269711034</v>
      </c>
      <c r="Q406" s="86">
        <f t="shared" si="72"/>
        <v>313712.36054664565</v>
      </c>
      <c r="R406" s="68">
        <f>IF((Q405-P406)&gt;Energie!S10,Energie!S10,(Q405-P406))</f>
        <v>547.6320602941177</v>
      </c>
      <c r="S406" s="92">
        <f t="shared" si="70"/>
        <v>25</v>
      </c>
      <c r="T406" s="128"/>
      <c r="U406" s="128">
        <f>(SUM(N394:N405)+R406+U394)</f>
        <v>40865.38073076673</v>
      </c>
      <c r="V406" s="104">
        <f t="shared" si="63"/>
        <v>2107.09261628104</v>
      </c>
      <c r="W406" s="104">
        <f>SUM(V394:V405)</f>
        <v>25832.743455666594</v>
      </c>
    </row>
    <row r="407" spans="2:22" ht="12.75">
      <c r="B407" s="9">
        <v>26</v>
      </c>
      <c r="C407" s="9" t="s">
        <v>28</v>
      </c>
      <c r="D407" s="10">
        <f t="shared" si="64"/>
        <v>448.82757486428903</v>
      </c>
      <c r="E407" s="10">
        <f t="shared" si="65"/>
        <v>50.125037920984205</v>
      </c>
      <c r="F407" s="10">
        <f t="shared" si="66"/>
        <v>398.70253694330484</v>
      </c>
      <c r="G407" s="11">
        <f t="shared" si="71"/>
        <v>79801.35813663142</v>
      </c>
      <c r="I407" s="92">
        <f t="shared" si="62"/>
        <v>26</v>
      </c>
      <c r="L407" s="9">
        <v>26</v>
      </c>
      <c r="M407" s="9" t="s">
        <v>28</v>
      </c>
      <c r="N407" s="10">
        <f t="shared" si="67"/>
        <v>1658.265041416751</v>
      </c>
      <c r="O407" s="10">
        <f t="shared" si="68"/>
        <v>653.5674178055118</v>
      </c>
      <c r="P407" s="10">
        <f t="shared" si="69"/>
        <v>1004.6976236112392</v>
      </c>
      <c r="Q407" s="11">
        <f t="shared" si="72"/>
        <v>312707.6629230344</v>
      </c>
      <c r="R407" s="9"/>
      <c r="S407" s="92">
        <f t="shared" si="70"/>
        <v>26</v>
      </c>
      <c r="V407" s="104">
        <f t="shared" si="63"/>
        <v>2107.09261628104</v>
      </c>
    </row>
    <row r="408" spans="2:22" ht="12.75">
      <c r="B408" s="9">
        <v>27</v>
      </c>
      <c r="C408" s="9" t="s">
        <v>29</v>
      </c>
      <c r="D408" s="10">
        <f t="shared" si="64"/>
        <v>448.82757486428903</v>
      </c>
      <c r="E408" s="10">
        <f t="shared" si="65"/>
        <v>49.875848835394635</v>
      </c>
      <c r="F408" s="10">
        <f t="shared" si="66"/>
        <v>398.9517260288944</v>
      </c>
      <c r="G408" s="11">
        <f t="shared" si="71"/>
        <v>79402.40641060252</v>
      </c>
      <c r="I408" s="92">
        <f t="shared" si="62"/>
        <v>27</v>
      </c>
      <c r="L408" s="9">
        <v>27</v>
      </c>
      <c r="M408" s="9" t="s">
        <v>29</v>
      </c>
      <c r="N408" s="10">
        <f t="shared" si="67"/>
        <v>1658.265041416751</v>
      </c>
      <c r="O408" s="10">
        <f t="shared" si="68"/>
        <v>651.4742977563216</v>
      </c>
      <c r="P408" s="10">
        <f t="shared" si="69"/>
        <v>1006.7907436604295</v>
      </c>
      <c r="Q408" s="11">
        <f t="shared" si="72"/>
        <v>311700.872179374</v>
      </c>
      <c r="R408" s="9"/>
      <c r="S408" s="92">
        <f t="shared" si="70"/>
        <v>27</v>
      </c>
      <c r="V408" s="104">
        <f t="shared" si="63"/>
        <v>2107.09261628104</v>
      </c>
    </row>
    <row r="409" spans="2:22" ht="12.75">
      <c r="B409" s="9">
        <v>28</v>
      </c>
      <c r="C409" s="9" t="s">
        <v>30</v>
      </c>
      <c r="D409" s="10">
        <f t="shared" si="64"/>
        <v>448.82757486428903</v>
      </c>
      <c r="E409" s="10">
        <f t="shared" si="65"/>
        <v>49.62650400662657</v>
      </c>
      <c r="F409" s="10">
        <f t="shared" si="66"/>
        <v>399.20107085766244</v>
      </c>
      <c r="G409" s="11">
        <f t="shared" si="71"/>
        <v>79003.20533974486</v>
      </c>
      <c r="I409" s="92">
        <f t="shared" si="62"/>
        <v>28</v>
      </c>
      <c r="L409" s="9">
        <v>28</v>
      </c>
      <c r="M409" s="9" t="s">
        <v>30</v>
      </c>
      <c r="N409" s="10">
        <f t="shared" si="67"/>
        <v>1658.265041416751</v>
      </c>
      <c r="O409" s="10">
        <f t="shared" si="68"/>
        <v>649.3768170403624</v>
      </c>
      <c r="P409" s="10">
        <f t="shared" si="69"/>
        <v>1008.8882243763886</v>
      </c>
      <c r="Q409" s="11">
        <f t="shared" si="72"/>
        <v>310691.9839549976</v>
      </c>
      <c r="R409" s="9"/>
      <c r="S409" s="92">
        <f t="shared" si="70"/>
        <v>28</v>
      </c>
      <c r="V409" s="104">
        <f t="shared" si="63"/>
        <v>2107.09261628104</v>
      </c>
    </row>
    <row r="410" spans="2:22" ht="12.75">
      <c r="B410" s="9">
        <v>29</v>
      </c>
      <c r="C410" s="9" t="s">
        <v>31</v>
      </c>
      <c r="D410" s="10">
        <f t="shared" si="64"/>
        <v>448.82757486428903</v>
      </c>
      <c r="E410" s="10">
        <f t="shared" si="65"/>
        <v>49.37700333734054</v>
      </c>
      <c r="F410" s="10">
        <f t="shared" si="66"/>
        <v>399.45057152694847</v>
      </c>
      <c r="G410" s="11">
        <f t="shared" si="71"/>
        <v>78603.75476821791</v>
      </c>
      <c r="I410" s="92">
        <f t="shared" si="62"/>
        <v>29</v>
      </c>
      <c r="L410" s="9">
        <v>29</v>
      </c>
      <c r="M410" s="9" t="s">
        <v>31</v>
      </c>
      <c r="N410" s="10">
        <f t="shared" si="67"/>
        <v>1658.265041416751</v>
      </c>
      <c r="O410" s="10">
        <f t="shared" si="68"/>
        <v>647.2749665729117</v>
      </c>
      <c r="P410" s="10">
        <f t="shared" si="69"/>
        <v>1010.9900748438394</v>
      </c>
      <c r="Q410" s="11">
        <f t="shared" si="72"/>
        <v>309680.99388015375</v>
      </c>
      <c r="R410" s="9"/>
      <c r="S410" s="92">
        <f t="shared" si="70"/>
        <v>29</v>
      </c>
      <c r="V410" s="104">
        <f t="shared" si="63"/>
        <v>2107.09261628104</v>
      </c>
    </row>
    <row r="411" spans="2:22" ht="12.75">
      <c r="B411" s="9">
        <v>30</v>
      </c>
      <c r="C411" s="9" t="s">
        <v>32</v>
      </c>
      <c r="D411" s="10">
        <f t="shared" si="64"/>
        <v>448.82757486428903</v>
      </c>
      <c r="E411" s="10">
        <f t="shared" si="65"/>
        <v>49.127346730136196</v>
      </c>
      <c r="F411" s="10">
        <f t="shared" si="66"/>
        <v>399.70022813415284</v>
      </c>
      <c r="G411" s="11">
        <f t="shared" si="71"/>
        <v>78204.05454008376</v>
      </c>
      <c r="I411" s="92">
        <f t="shared" si="62"/>
        <v>30</v>
      </c>
      <c r="L411" s="9">
        <v>30</v>
      </c>
      <c r="M411" s="9" t="s">
        <v>32</v>
      </c>
      <c r="N411" s="10">
        <f t="shared" si="67"/>
        <v>1658.265041416751</v>
      </c>
      <c r="O411" s="10">
        <f t="shared" si="68"/>
        <v>645.1687372503203</v>
      </c>
      <c r="P411" s="10">
        <f t="shared" si="69"/>
        <v>1013.0963041664307</v>
      </c>
      <c r="Q411" s="11">
        <f t="shared" si="72"/>
        <v>308667.8975759873</v>
      </c>
      <c r="R411" s="9"/>
      <c r="S411" s="92">
        <f t="shared" si="70"/>
        <v>30</v>
      </c>
      <c r="V411" s="104">
        <f t="shared" si="63"/>
        <v>2107.09261628104</v>
      </c>
    </row>
    <row r="412" spans="2:22" ht="12.75">
      <c r="B412" s="9">
        <v>31</v>
      </c>
      <c r="C412" s="9" t="s">
        <v>33</v>
      </c>
      <c r="D412" s="10">
        <f t="shared" si="64"/>
        <v>448.82757486428903</v>
      </c>
      <c r="E412" s="10">
        <f t="shared" si="65"/>
        <v>48.87753408755234</v>
      </c>
      <c r="F412" s="10">
        <f t="shared" si="66"/>
        <v>399.95004077673667</v>
      </c>
      <c r="G412" s="11">
        <f t="shared" si="71"/>
        <v>77804.10449930702</v>
      </c>
      <c r="I412" s="92">
        <f t="shared" si="62"/>
        <v>31</v>
      </c>
      <c r="L412" s="9">
        <v>31</v>
      </c>
      <c r="M412" s="9" t="s">
        <v>33</v>
      </c>
      <c r="N412" s="10">
        <f t="shared" si="67"/>
        <v>1658.265041416751</v>
      </c>
      <c r="O412" s="10">
        <f t="shared" si="68"/>
        <v>643.0581199499735</v>
      </c>
      <c r="P412" s="10">
        <f t="shared" si="69"/>
        <v>1015.2069214667775</v>
      </c>
      <c r="Q412" s="11">
        <f t="shared" si="72"/>
        <v>307652.6906545205</v>
      </c>
      <c r="R412" s="9"/>
      <c r="S412" s="92">
        <f t="shared" si="70"/>
        <v>31</v>
      </c>
      <c r="V412" s="104">
        <f t="shared" si="63"/>
        <v>2107.09261628104</v>
      </c>
    </row>
    <row r="413" spans="2:22" ht="12.75">
      <c r="B413" s="9">
        <v>32</v>
      </c>
      <c r="C413" s="9" t="s">
        <v>34</v>
      </c>
      <c r="D413" s="10">
        <f t="shared" si="64"/>
        <v>448.82757486428903</v>
      </c>
      <c r="E413" s="10">
        <f t="shared" si="65"/>
        <v>48.627565312066885</v>
      </c>
      <c r="F413" s="10">
        <f t="shared" si="66"/>
        <v>400.2000095522221</v>
      </c>
      <c r="G413" s="11">
        <f t="shared" si="71"/>
        <v>77403.9044897548</v>
      </c>
      <c r="I413" s="92">
        <f t="shared" si="62"/>
        <v>32</v>
      </c>
      <c r="L413" s="9">
        <v>32</v>
      </c>
      <c r="M413" s="9" t="s">
        <v>34</v>
      </c>
      <c r="N413" s="10">
        <f t="shared" si="67"/>
        <v>1658.265041416751</v>
      </c>
      <c r="O413" s="10">
        <f t="shared" si="68"/>
        <v>640.943105530251</v>
      </c>
      <c r="P413" s="10">
        <f t="shared" si="69"/>
        <v>1017.3219358865</v>
      </c>
      <c r="Q413" s="11">
        <f t="shared" si="72"/>
        <v>306635.368718634</v>
      </c>
      <c r="R413" s="9"/>
      <c r="S413" s="92">
        <f t="shared" si="70"/>
        <v>32</v>
      </c>
      <c r="V413" s="104">
        <f t="shared" si="63"/>
        <v>2107.09261628104</v>
      </c>
    </row>
    <row r="414" spans="2:22" ht="12.75">
      <c r="B414" s="9">
        <v>33</v>
      </c>
      <c r="C414" s="9" t="s">
        <v>35</v>
      </c>
      <c r="D414" s="10">
        <f t="shared" si="64"/>
        <v>448.82757486428903</v>
      </c>
      <c r="E414" s="10">
        <f t="shared" si="65"/>
        <v>48.37744030609675</v>
      </c>
      <c r="F414" s="10">
        <f t="shared" si="66"/>
        <v>400.4501345581923</v>
      </c>
      <c r="G414" s="11">
        <f t="shared" si="71"/>
        <v>77003.4543551966</v>
      </c>
      <c r="I414" s="92">
        <f t="shared" si="62"/>
        <v>33</v>
      </c>
      <c r="L414" s="9">
        <v>33</v>
      </c>
      <c r="M414" s="9" t="s">
        <v>35</v>
      </c>
      <c r="N414" s="10">
        <f t="shared" si="67"/>
        <v>1658.265041416751</v>
      </c>
      <c r="O414" s="10">
        <f t="shared" si="68"/>
        <v>638.8236848304875</v>
      </c>
      <c r="P414" s="10">
        <f t="shared" si="69"/>
        <v>1019.4413565862635</v>
      </c>
      <c r="Q414" s="11">
        <f t="shared" si="72"/>
        <v>305615.9273620477</v>
      </c>
      <c r="R414" s="9"/>
      <c r="S414" s="92">
        <f t="shared" si="70"/>
        <v>33</v>
      </c>
      <c r="V414" s="104">
        <f t="shared" si="63"/>
        <v>2107.09261628104</v>
      </c>
    </row>
    <row r="415" spans="2:22" ht="12.75">
      <c r="B415" s="9">
        <v>34</v>
      </c>
      <c r="C415" s="9" t="s">
        <v>36</v>
      </c>
      <c r="D415" s="10">
        <f t="shared" si="64"/>
        <v>448.82757486428903</v>
      </c>
      <c r="E415" s="10">
        <f t="shared" si="65"/>
        <v>48.12715897199788</v>
      </c>
      <c r="F415" s="10">
        <f t="shared" si="66"/>
        <v>400.7004158922912</v>
      </c>
      <c r="G415" s="11">
        <f t="shared" si="71"/>
        <v>76602.75393930431</v>
      </c>
      <c r="I415" s="92">
        <f t="shared" si="62"/>
        <v>34</v>
      </c>
      <c r="L415" s="9">
        <v>34</v>
      </c>
      <c r="M415" s="9" t="s">
        <v>36</v>
      </c>
      <c r="N415" s="10">
        <f t="shared" si="67"/>
        <v>1658.265041416751</v>
      </c>
      <c r="O415" s="10">
        <f t="shared" si="68"/>
        <v>636.6998486709327</v>
      </c>
      <c r="P415" s="10">
        <f t="shared" si="69"/>
        <v>1021.5651927458183</v>
      </c>
      <c r="Q415" s="11">
        <f t="shared" si="72"/>
        <v>304594.3621693019</v>
      </c>
      <c r="R415" s="9"/>
      <c r="S415" s="92">
        <f t="shared" si="70"/>
        <v>34</v>
      </c>
      <c r="V415" s="104">
        <f t="shared" si="63"/>
        <v>2107.09261628104</v>
      </c>
    </row>
    <row r="416" spans="2:22" ht="12.75">
      <c r="B416" s="9">
        <v>35</v>
      </c>
      <c r="C416" s="9" t="s">
        <v>37</v>
      </c>
      <c r="D416" s="10">
        <f t="shared" si="64"/>
        <v>448.82757486428903</v>
      </c>
      <c r="E416" s="10">
        <f t="shared" si="65"/>
        <v>47.876721212065185</v>
      </c>
      <c r="F416" s="10">
        <f t="shared" si="66"/>
        <v>400.9508536522238</v>
      </c>
      <c r="G416" s="11">
        <f t="shared" si="71"/>
        <v>76201.80308565209</v>
      </c>
      <c r="I416" s="92">
        <f t="shared" si="62"/>
        <v>35</v>
      </c>
      <c r="L416" s="9">
        <v>35</v>
      </c>
      <c r="M416" s="9" t="s">
        <v>37</v>
      </c>
      <c r="N416" s="10">
        <f t="shared" si="67"/>
        <v>1658.265041416751</v>
      </c>
      <c r="O416" s="10">
        <f t="shared" si="68"/>
        <v>634.5715878527122</v>
      </c>
      <c r="P416" s="10">
        <f t="shared" si="69"/>
        <v>1023.6934535640388</v>
      </c>
      <c r="Q416" s="11">
        <f t="shared" si="72"/>
        <v>303570.6687157379</v>
      </c>
      <c r="R416" s="9"/>
      <c r="S416" s="92">
        <f t="shared" si="70"/>
        <v>35</v>
      </c>
      <c r="V416" s="104">
        <f t="shared" si="63"/>
        <v>2107.09261628104</v>
      </c>
    </row>
    <row r="417" spans="2:22" ht="12.75">
      <c r="B417" s="9">
        <v>36</v>
      </c>
      <c r="C417" s="9" t="s">
        <v>38</v>
      </c>
      <c r="D417" s="10">
        <f t="shared" si="64"/>
        <v>448.82757486428903</v>
      </c>
      <c r="E417" s="10">
        <f t="shared" si="65"/>
        <v>47.62612692853256</v>
      </c>
      <c r="F417" s="10">
        <f t="shared" si="66"/>
        <v>401.2014479357565</v>
      </c>
      <c r="G417" s="11">
        <f t="shared" si="71"/>
        <v>75800.60163771633</v>
      </c>
      <c r="I417" s="92">
        <f t="shared" si="62"/>
        <v>36</v>
      </c>
      <c r="L417" s="9">
        <v>36</v>
      </c>
      <c r="M417" s="9" t="s">
        <v>38</v>
      </c>
      <c r="N417" s="10">
        <f t="shared" si="67"/>
        <v>1658.265041416751</v>
      </c>
      <c r="O417" s="10">
        <f t="shared" si="68"/>
        <v>632.4388931577872</v>
      </c>
      <c r="P417" s="10">
        <f t="shared" si="69"/>
        <v>1025.8261482589637</v>
      </c>
      <c r="Q417" s="11">
        <f t="shared" si="72"/>
        <v>302544.8425674789</v>
      </c>
      <c r="R417" s="9"/>
      <c r="S417" s="92">
        <f t="shared" si="70"/>
        <v>36</v>
      </c>
      <c r="V417" s="104">
        <f t="shared" si="63"/>
        <v>2684.415404589864</v>
      </c>
    </row>
    <row r="418" spans="2:23" ht="12.75">
      <c r="B418" s="84">
        <v>37</v>
      </c>
      <c r="C418" s="84" t="s">
        <v>27</v>
      </c>
      <c r="D418" s="85">
        <f t="shared" si="64"/>
        <v>448.82757486428903</v>
      </c>
      <c r="E418" s="85">
        <f t="shared" si="65"/>
        <v>47.375376023572706</v>
      </c>
      <c r="F418" s="85">
        <f t="shared" si="66"/>
        <v>401.45219884071633</v>
      </c>
      <c r="G418" s="86">
        <f t="shared" si="71"/>
        <v>75399.14943887561</v>
      </c>
      <c r="I418" s="92">
        <f t="shared" si="62"/>
        <v>37</v>
      </c>
      <c r="J418" s="128">
        <f>(SUM(D406:D417)+J406)</f>
        <v>16157.792695114404</v>
      </c>
      <c r="K418">
        <v>3</v>
      </c>
      <c r="L418" s="84">
        <v>37</v>
      </c>
      <c r="M418" s="84" t="s">
        <v>27</v>
      </c>
      <c r="N418" s="85">
        <f t="shared" si="67"/>
        <v>1658.265041416751</v>
      </c>
      <c r="O418" s="85">
        <f t="shared" si="68"/>
        <v>630.3017553489143</v>
      </c>
      <c r="P418" s="85">
        <f t="shared" si="69"/>
        <v>1027.9632860678366</v>
      </c>
      <c r="Q418" s="86">
        <f t="shared" si="72"/>
        <v>300939.5564931022</v>
      </c>
      <c r="R418" s="68">
        <f>IF((Q417-P418)&gt;Energie!S11,Energie!S11,(Q417-P418))</f>
        <v>577.3227883088236</v>
      </c>
      <c r="S418" s="92">
        <f t="shared" si="70"/>
        <v>37</v>
      </c>
      <c r="T418" s="128"/>
      <c r="U418" s="128">
        <f>(SUM(N406:N417)+R418+U406)</f>
        <v>61341.88401607657</v>
      </c>
      <c r="V418" s="104">
        <f t="shared" si="63"/>
        <v>2107.09261628104</v>
      </c>
      <c r="W418" s="104">
        <f>SUM(V406:V417)</f>
        <v>25862.4341836813</v>
      </c>
    </row>
    <row r="419" spans="2:22" ht="12.75">
      <c r="B419" s="9">
        <v>38</v>
      </c>
      <c r="C419" s="9" t="s">
        <v>28</v>
      </c>
      <c r="D419" s="10">
        <f t="shared" si="64"/>
        <v>448.82757486428903</v>
      </c>
      <c r="E419" s="10">
        <f t="shared" si="65"/>
        <v>47.12446839929726</v>
      </c>
      <c r="F419" s="10">
        <f t="shared" si="66"/>
        <v>401.7031064649918</v>
      </c>
      <c r="G419" s="11">
        <f t="shared" si="71"/>
        <v>74997.44633241062</v>
      </c>
      <c r="I419" s="92">
        <f t="shared" si="62"/>
        <v>38</v>
      </c>
      <c r="L419" s="9">
        <v>38</v>
      </c>
      <c r="M419" s="9" t="s">
        <v>28</v>
      </c>
      <c r="N419" s="10">
        <f t="shared" si="67"/>
        <v>1658.265041416751</v>
      </c>
      <c r="O419" s="10">
        <f t="shared" si="68"/>
        <v>626.9574093606296</v>
      </c>
      <c r="P419" s="10">
        <f t="shared" si="69"/>
        <v>1031.3076320561213</v>
      </c>
      <c r="Q419" s="11">
        <f t="shared" si="72"/>
        <v>299908.2488610461</v>
      </c>
      <c r="R419" s="9"/>
      <c r="S419" s="92">
        <f t="shared" si="70"/>
        <v>38</v>
      </c>
      <c r="V419" s="104">
        <f t="shared" si="63"/>
        <v>2107.09261628104</v>
      </c>
    </row>
    <row r="420" spans="2:22" ht="12.75">
      <c r="B420" s="9">
        <v>39</v>
      </c>
      <c r="C420" s="9" t="s">
        <v>29</v>
      </c>
      <c r="D420" s="10">
        <f t="shared" si="64"/>
        <v>448.82757486428903</v>
      </c>
      <c r="E420" s="10">
        <f t="shared" si="65"/>
        <v>46.873403957756636</v>
      </c>
      <c r="F420" s="10">
        <f t="shared" si="66"/>
        <v>401.9541709065324</v>
      </c>
      <c r="G420" s="11">
        <f t="shared" si="71"/>
        <v>74595.49216150408</v>
      </c>
      <c r="I420" s="92">
        <f t="shared" si="62"/>
        <v>39</v>
      </c>
      <c r="L420" s="9">
        <v>39</v>
      </c>
      <c r="M420" s="9" t="s">
        <v>29</v>
      </c>
      <c r="N420" s="10">
        <f t="shared" si="67"/>
        <v>1658.265041416751</v>
      </c>
      <c r="O420" s="10">
        <f t="shared" si="68"/>
        <v>624.808851793846</v>
      </c>
      <c r="P420" s="10">
        <f t="shared" si="69"/>
        <v>1033.4561896229052</v>
      </c>
      <c r="Q420" s="11">
        <f t="shared" si="72"/>
        <v>298874.7926714232</v>
      </c>
      <c r="R420" s="9"/>
      <c r="S420" s="92">
        <f t="shared" si="70"/>
        <v>39</v>
      </c>
      <c r="V420" s="104">
        <f t="shared" si="63"/>
        <v>2107.09261628104</v>
      </c>
    </row>
    <row r="421" spans="2:22" ht="12.75">
      <c r="B421" s="9">
        <v>40</v>
      </c>
      <c r="C421" s="9" t="s">
        <v>30</v>
      </c>
      <c r="D421" s="10">
        <f t="shared" si="64"/>
        <v>448.82757486428903</v>
      </c>
      <c r="E421" s="10">
        <f t="shared" si="65"/>
        <v>46.62218260094005</v>
      </c>
      <c r="F421" s="10">
        <f t="shared" si="66"/>
        <v>402.205392263349</v>
      </c>
      <c r="G421" s="11">
        <f t="shared" si="71"/>
        <v>74193.28676924073</v>
      </c>
      <c r="I421" s="92">
        <f t="shared" si="62"/>
        <v>40</v>
      </c>
      <c r="L421" s="9">
        <v>40</v>
      </c>
      <c r="M421" s="9" t="s">
        <v>30</v>
      </c>
      <c r="N421" s="10">
        <f t="shared" si="67"/>
        <v>1658.265041416751</v>
      </c>
      <c r="O421" s="10">
        <f t="shared" si="68"/>
        <v>622.6558180654649</v>
      </c>
      <c r="P421" s="10">
        <f t="shared" si="69"/>
        <v>1035.6092233512861</v>
      </c>
      <c r="Q421" s="11">
        <f t="shared" si="72"/>
        <v>297839.1834480719</v>
      </c>
      <c r="R421" s="9"/>
      <c r="S421" s="92">
        <f t="shared" si="70"/>
        <v>40</v>
      </c>
      <c r="V421" s="104">
        <f t="shared" si="63"/>
        <v>2107.09261628104</v>
      </c>
    </row>
    <row r="422" spans="2:22" ht="12.75">
      <c r="B422" s="9">
        <v>41</v>
      </c>
      <c r="C422" s="9" t="s">
        <v>31</v>
      </c>
      <c r="D422" s="10">
        <f t="shared" si="64"/>
        <v>448.82757486428903</v>
      </c>
      <c r="E422" s="10">
        <f t="shared" si="65"/>
        <v>46.370804230775455</v>
      </c>
      <c r="F422" s="10">
        <f t="shared" si="66"/>
        <v>402.4567706335136</v>
      </c>
      <c r="G422" s="11">
        <f t="shared" si="71"/>
        <v>73790.82999860722</v>
      </c>
      <c r="I422" s="92">
        <f t="shared" si="62"/>
        <v>41</v>
      </c>
      <c r="L422" s="9">
        <v>41</v>
      </c>
      <c r="M422" s="9" t="s">
        <v>31</v>
      </c>
      <c r="N422" s="10">
        <f t="shared" si="67"/>
        <v>1658.265041416751</v>
      </c>
      <c r="O422" s="10">
        <f t="shared" si="68"/>
        <v>620.4982988501498</v>
      </c>
      <c r="P422" s="10">
        <f t="shared" si="69"/>
        <v>1037.7667425666014</v>
      </c>
      <c r="Q422" s="11">
        <f t="shared" si="72"/>
        <v>296801.4167055053</v>
      </c>
      <c r="R422" s="9"/>
      <c r="S422" s="92">
        <f t="shared" si="70"/>
        <v>41</v>
      </c>
      <c r="V422" s="104">
        <f t="shared" si="63"/>
        <v>2107.09261628104</v>
      </c>
    </row>
    <row r="423" spans="2:22" ht="12.75">
      <c r="B423" s="9">
        <v>42</v>
      </c>
      <c r="C423" s="9" t="s">
        <v>32</v>
      </c>
      <c r="D423" s="10">
        <f t="shared" si="64"/>
        <v>448.82757486428903</v>
      </c>
      <c r="E423" s="10">
        <f t="shared" si="65"/>
        <v>46.119268749129525</v>
      </c>
      <c r="F423" s="10">
        <f t="shared" si="66"/>
        <v>402.70830611515953</v>
      </c>
      <c r="G423" s="11">
        <f t="shared" si="71"/>
        <v>73388.12169249206</v>
      </c>
      <c r="I423" s="92">
        <f t="shared" si="62"/>
        <v>42</v>
      </c>
      <c r="L423" s="9">
        <v>42</v>
      </c>
      <c r="M423" s="9" t="s">
        <v>32</v>
      </c>
      <c r="N423" s="10">
        <f t="shared" si="67"/>
        <v>1658.265041416751</v>
      </c>
      <c r="O423" s="10">
        <f t="shared" si="68"/>
        <v>618.336284803136</v>
      </c>
      <c r="P423" s="10">
        <f t="shared" si="69"/>
        <v>1039.928756613615</v>
      </c>
      <c r="Q423" s="11">
        <f t="shared" si="72"/>
        <v>295761.48794889165</v>
      </c>
      <c r="R423" s="9"/>
      <c r="S423" s="92">
        <f t="shared" si="70"/>
        <v>42</v>
      </c>
      <c r="V423" s="104">
        <f t="shared" si="63"/>
        <v>2107.09261628104</v>
      </c>
    </row>
    <row r="424" spans="2:22" ht="12.75">
      <c r="B424" s="9">
        <v>43</v>
      </c>
      <c r="C424" s="9" t="s">
        <v>33</v>
      </c>
      <c r="D424" s="10">
        <f t="shared" si="64"/>
        <v>448.82757486428903</v>
      </c>
      <c r="E424" s="10">
        <f t="shared" si="65"/>
        <v>45.86757605780755</v>
      </c>
      <c r="F424" s="10">
        <f t="shared" si="66"/>
        <v>402.9599988064815</v>
      </c>
      <c r="G424" s="11">
        <f t="shared" si="71"/>
        <v>72985.16169368557</v>
      </c>
      <c r="I424" s="92">
        <f t="shared" si="62"/>
        <v>43</v>
      </c>
      <c r="L424" s="9">
        <v>43</v>
      </c>
      <c r="M424" s="9" t="s">
        <v>33</v>
      </c>
      <c r="N424" s="10">
        <f t="shared" si="67"/>
        <v>1658.265041416751</v>
      </c>
      <c r="O424" s="10">
        <f t="shared" si="68"/>
        <v>616.1697665601909</v>
      </c>
      <c r="P424" s="10">
        <f t="shared" si="69"/>
        <v>1042.09527485656</v>
      </c>
      <c r="Q424" s="11">
        <f t="shared" si="72"/>
        <v>294719.3926740351</v>
      </c>
      <c r="R424" s="9"/>
      <c r="S424" s="92">
        <f t="shared" si="70"/>
        <v>43</v>
      </c>
      <c r="V424" s="104">
        <f t="shared" si="63"/>
        <v>2107.09261628104</v>
      </c>
    </row>
    <row r="425" spans="2:22" ht="12.75">
      <c r="B425" s="9">
        <v>44</v>
      </c>
      <c r="C425" s="9" t="s">
        <v>34</v>
      </c>
      <c r="D425" s="10">
        <f t="shared" si="64"/>
        <v>448.82757486428903</v>
      </c>
      <c r="E425" s="10">
        <f t="shared" si="65"/>
        <v>45.615726058553484</v>
      </c>
      <c r="F425" s="10">
        <f t="shared" si="66"/>
        <v>403.21184880573554</v>
      </c>
      <c r="G425" s="11">
        <f t="shared" si="71"/>
        <v>72581.94984487984</v>
      </c>
      <c r="I425" s="92">
        <f t="shared" si="62"/>
        <v>44</v>
      </c>
      <c r="L425" s="9">
        <v>44</v>
      </c>
      <c r="M425" s="9" t="s">
        <v>34</v>
      </c>
      <c r="N425" s="10">
        <f t="shared" si="67"/>
        <v>1658.265041416751</v>
      </c>
      <c r="O425" s="10">
        <f t="shared" si="68"/>
        <v>613.998734737573</v>
      </c>
      <c r="P425" s="10">
        <f t="shared" si="69"/>
        <v>1044.266306679178</v>
      </c>
      <c r="Q425" s="11">
        <f t="shared" si="72"/>
        <v>293675.12636735593</v>
      </c>
      <c r="R425" s="9"/>
      <c r="S425" s="92">
        <f t="shared" si="70"/>
        <v>44</v>
      </c>
      <c r="V425" s="104">
        <f t="shared" si="63"/>
        <v>2107.09261628104</v>
      </c>
    </row>
    <row r="426" spans="2:22" ht="12.75">
      <c r="B426" s="9">
        <v>45</v>
      </c>
      <c r="C426" s="9" t="s">
        <v>35</v>
      </c>
      <c r="D426" s="10">
        <f t="shared" si="64"/>
        <v>448.82757486428903</v>
      </c>
      <c r="E426" s="10">
        <f t="shared" si="65"/>
        <v>45.36371865304991</v>
      </c>
      <c r="F426" s="10">
        <f t="shared" si="66"/>
        <v>403.46385621123915</v>
      </c>
      <c r="G426" s="11">
        <f t="shared" si="71"/>
        <v>72178.4859886686</v>
      </c>
      <c r="I426" s="92">
        <f t="shared" si="62"/>
        <v>45</v>
      </c>
      <c r="L426" s="9">
        <v>45</v>
      </c>
      <c r="M426" s="9" t="s">
        <v>35</v>
      </c>
      <c r="N426" s="10">
        <f t="shared" si="67"/>
        <v>1658.265041416751</v>
      </c>
      <c r="O426" s="10">
        <f t="shared" si="68"/>
        <v>611.8231799319915</v>
      </c>
      <c r="P426" s="10">
        <f t="shared" si="69"/>
        <v>1046.4418614847596</v>
      </c>
      <c r="Q426" s="11">
        <f t="shared" si="72"/>
        <v>292628.68450587115</v>
      </c>
      <c r="R426" s="9"/>
      <c r="S426" s="92">
        <f t="shared" si="70"/>
        <v>45</v>
      </c>
      <c r="V426" s="104">
        <f t="shared" si="63"/>
        <v>2107.09261628104</v>
      </c>
    </row>
    <row r="427" spans="2:22" ht="12.75">
      <c r="B427" s="9">
        <v>46</v>
      </c>
      <c r="C427" s="9" t="s">
        <v>36</v>
      </c>
      <c r="D427" s="10">
        <f t="shared" si="64"/>
        <v>448.82757486428903</v>
      </c>
      <c r="E427" s="10">
        <f t="shared" si="65"/>
        <v>45.111553742917884</v>
      </c>
      <c r="F427" s="10">
        <f t="shared" si="66"/>
        <v>403.71602112137117</v>
      </c>
      <c r="G427" s="11">
        <f t="shared" si="71"/>
        <v>71774.76996754722</v>
      </c>
      <c r="I427" s="92">
        <f t="shared" si="62"/>
        <v>46</v>
      </c>
      <c r="L427" s="9">
        <v>46</v>
      </c>
      <c r="M427" s="9" t="s">
        <v>36</v>
      </c>
      <c r="N427" s="10">
        <f t="shared" si="67"/>
        <v>1658.265041416751</v>
      </c>
      <c r="O427" s="10">
        <f t="shared" si="68"/>
        <v>609.6430927205649</v>
      </c>
      <c r="P427" s="10">
        <f t="shared" si="69"/>
        <v>1048.621948696186</v>
      </c>
      <c r="Q427" s="11">
        <f t="shared" si="72"/>
        <v>291580.06255717494</v>
      </c>
      <c r="R427" s="9"/>
      <c r="S427" s="92">
        <f t="shared" si="70"/>
        <v>46</v>
      </c>
      <c r="V427" s="104">
        <f t="shared" si="63"/>
        <v>2107.09261628104</v>
      </c>
    </row>
    <row r="428" spans="2:22" ht="12.75">
      <c r="B428" s="9">
        <v>47</v>
      </c>
      <c r="C428" s="9" t="s">
        <v>37</v>
      </c>
      <c r="D428" s="10">
        <f t="shared" si="64"/>
        <v>448.82757486428903</v>
      </c>
      <c r="E428" s="10">
        <f t="shared" si="65"/>
        <v>44.85923122971702</v>
      </c>
      <c r="F428" s="10">
        <f t="shared" si="66"/>
        <v>403.968343634572</v>
      </c>
      <c r="G428" s="11">
        <f t="shared" si="71"/>
        <v>71370.80162391266</v>
      </c>
      <c r="I428" s="92">
        <f aca="true" t="shared" si="73" ref="I428:I491">IF(E428&gt;0,B428,"")</f>
        <v>47</v>
      </c>
      <c r="L428" s="9">
        <v>47</v>
      </c>
      <c r="M428" s="9" t="s">
        <v>37</v>
      </c>
      <c r="N428" s="10">
        <f t="shared" si="67"/>
        <v>1658.265041416751</v>
      </c>
      <c r="O428" s="10">
        <f t="shared" si="68"/>
        <v>607.4584636607811</v>
      </c>
      <c r="P428" s="10">
        <f t="shared" si="69"/>
        <v>1050.80657775597</v>
      </c>
      <c r="Q428" s="11">
        <f t="shared" si="72"/>
        <v>290529.255979419</v>
      </c>
      <c r="R428" s="9"/>
      <c r="S428" s="92">
        <f t="shared" si="70"/>
        <v>47</v>
      </c>
      <c r="V428" s="104">
        <f t="shared" si="63"/>
        <v>2107.09261628104</v>
      </c>
    </row>
    <row r="429" spans="2:22" ht="12.75">
      <c r="B429" s="9">
        <v>48</v>
      </c>
      <c r="C429" s="9" t="s">
        <v>38</v>
      </c>
      <c r="D429" s="10">
        <f t="shared" si="64"/>
        <v>448.82757486428903</v>
      </c>
      <c r="E429" s="10">
        <f t="shared" si="65"/>
        <v>44.60675101494541</v>
      </c>
      <c r="F429" s="10">
        <f t="shared" si="66"/>
        <v>404.2208238493436</v>
      </c>
      <c r="G429" s="11">
        <f t="shared" si="71"/>
        <v>70966.58080006331</v>
      </c>
      <c r="I429" s="92">
        <f t="shared" si="73"/>
        <v>48</v>
      </c>
      <c r="L429" s="9">
        <v>48</v>
      </c>
      <c r="M429" s="9" t="s">
        <v>38</v>
      </c>
      <c r="N429" s="10">
        <f t="shared" si="67"/>
        <v>1658.265041416751</v>
      </c>
      <c r="O429" s="10">
        <f t="shared" si="68"/>
        <v>605.2692832904562</v>
      </c>
      <c r="P429" s="10">
        <f t="shared" si="69"/>
        <v>1052.9957581262947</v>
      </c>
      <c r="Q429" s="11">
        <f t="shared" si="72"/>
        <v>289476.2602212927</v>
      </c>
      <c r="R429" s="9"/>
      <c r="S429" s="92">
        <f t="shared" si="70"/>
        <v>48</v>
      </c>
      <c r="V429" s="104">
        <f t="shared" si="63"/>
        <v>2715.625305880305</v>
      </c>
    </row>
    <row r="430" spans="2:23" ht="12.75">
      <c r="B430" s="84">
        <v>49</v>
      </c>
      <c r="C430" s="84" t="s">
        <v>27</v>
      </c>
      <c r="D430" s="85">
        <f t="shared" si="64"/>
        <v>448.82757486428903</v>
      </c>
      <c r="E430" s="85">
        <f t="shared" si="65"/>
        <v>44.35411300003957</v>
      </c>
      <c r="F430" s="85">
        <f t="shared" si="66"/>
        <v>404.4734618642495</v>
      </c>
      <c r="G430" s="86">
        <f t="shared" si="71"/>
        <v>70562.10733819906</v>
      </c>
      <c r="I430" s="92">
        <f t="shared" si="73"/>
        <v>49</v>
      </c>
      <c r="J430" s="128">
        <f>(SUM(D418:D429)+J418)</f>
        <v>21543.723593485873</v>
      </c>
      <c r="K430">
        <v>4</v>
      </c>
      <c r="L430" s="84">
        <v>49</v>
      </c>
      <c r="M430" s="84" t="s">
        <v>27</v>
      </c>
      <c r="N430" s="85">
        <f t="shared" si="67"/>
        <v>1658.265041416751</v>
      </c>
      <c r="O430" s="85">
        <f t="shared" si="68"/>
        <v>603.075542127693</v>
      </c>
      <c r="P430" s="85">
        <f t="shared" si="69"/>
        <v>1055.189499289058</v>
      </c>
      <c r="Q430" s="86">
        <f t="shared" si="72"/>
        <v>287812.5380324044</v>
      </c>
      <c r="R430" s="68">
        <f>IF((Q429-P430)&gt;Energie!S12,Energie!S12,(Q429-P430))</f>
        <v>608.5326895992648</v>
      </c>
      <c r="S430" s="92">
        <f t="shared" si="70"/>
        <v>49</v>
      </c>
      <c r="T430" s="128"/>
      <c r="U430" s="128">
        <f>(SUM(N418:N429)+R430+U418)</f>
        <v>81849.59720267684</v>
      </c>
      <c r="V430" s="104">
        <f t="shared" si="63"/>
        <v>2107.09261628104</v>
      </c>
      <c r="W430" s="104">
        <f>SUM(V418:V429)</f>
        <v>25893.64408497174</v>
      </c>
    </row>
    <row r="431" spans="2:22" ht="12.75">
      <c r="B431" s="9">
        <v>50</v>
      </c>
      <c r="C431" s="9" t="s">
        <v>28</v>
      </c>
      <c r="D431" s="10">
        <f t="shared" si="64"/>
        <v>448.82757486428903</v>
      </c>
      <c r="E431" s="10">
        <f t="shared" si="65"/>
        <v>44.1013170863744</v>
      </c>
      <c r="F431" s="10">
        <f t="shared" si="66"/>
        <v>404.7262577779146</v>
      </c>
      <c r="G431" s="11">
        <f t="shared" si="71"/>
        <v>70157.38108042114</v>
      </c>
      <c r="I431" s="92">
        <f t="shared" si="73"/>
        <v>50</v>
      </c>
      <c r="L431" s="9">
        <v>50</v>
      </c>
      <c r="M431" s="9" t="s">
        <v>28</v>
      </c>
      <c r="N431" s="10">
        <f t="shared" si="67"/>
        <v>1658.265041416751</v>
      </c>
      <c r="O431" s="10">
        <f t="shared" si="68"/>
        <v>599.6094542341758</v>
      </c>
      <c r="P431" s="10">
        <f t="shared" si="69"/>
        <v>1058.6555871825753</v>
      </c>
      <c r="Q431" s="11">
        <f t="shared" si="72"/>
        <v>286753.8824452218</v>
      </c>
      <c r="R431" s="9"/>
      <c r="S431" s="92">
        <f t="shared" si="70"/>
        <v>50</v>
      </c>
      <c r="V431" s="104">
        <f t="shared" si="63"/>
        <v>2107.09261628104</v>
      </c>
    </row>
    <row r="432" spans="2:22" ht="12.75">
      <c r="B432" s="9">
        <v>51</v>
      </c>
      <c r="C432" s="9" t="s">
        <v>29</v>
      </c>
      <c r="D432" s="10">
        <f t="shared" si="64"/>
        <v>448.82757486428903</v>
      </c>
      <c r="E432" s="10">
        <f t="shared" si="65"/>
        <v>43.84836317526321</v>
      </c>
      <c r="F432" s="10">
        <f t="shared" si="66"/>
        <v>404.9792116890258</v>
      </c>
      <c r="G432" s="11">
        <f t="shared" si="71"/>
        <v>69752.40186873211</v>
      </c>
      <c r="I432" s="92">
        <f t="shared" si="73"/>
        <v>51</v>
      </c>
      <c r="L432" s="9">
        <v>51</v>
      </c>
      <c r="M432" s="9" t="s">
        <v>29</v>
      </c>
      <c r="N432" s="10">
        <f t="shared" si="67"/>
        <v>1658.265041416751</v>
      </c>
      <c r="O432" s="10">
        <f t="shared" si="68"/>
        <v>597.4039217608788</v>
      </c>
      <c r="P432" s="10">
        <f t="shared" si="69"/>
        <v>1060.8611196558722</v>
      </c>
      <c r="Q432" s="11">
        <f t="shared" si="72"/>
        <v>285693.02132556593</v>
      </c>
      <c r="R432" s="9"/>
      <c r="S432" s="92">
        <f t="shared" si="70"/>
        <v>51</v>
      </c>
      <c r="V432" s="104">
        <f t="shared" si="63"/>
        <v>2107.09261628104</v>
      </c>
    </row>
    <row r="433" spans="2:22" ht="12.75">
      <c r="B433" s="9">
        <v>52</v>
      </c>
      <c r="C433" s="9" t="s">
        <v>30</v>
      </c>
      <c r="D433" s="10">
        <f t="shared" si="64"/>
        <v>448.82757486428903</v>
      </c>
      <c r="E433" s="10">
        <f t="shared" si="65"/>
        <v>43.59525116795757</v>
      </c>
      <c r="F433" s="10">
        <f t="shared" si="66"/>
        <v>405.2323236963315</v>
      </c>
      <c r="G433" s="11">
        <f t="shared" si="71"/>
        <v>69347.16954503578</v>
      </c>
      <c r="I433" s="92">
        <f t="shared" si="73"/>
        <v>52</v>
      </c>
      <c r="L433" s="9">
        <v>52</v>
      </c>
      <c r="M433" s="9" t="s">
        <v>30</v>
      </c>
      <c r="N433" s="10">
        <f t="shared" si="67"/>
        <v>1658.265041416751</v>
      </c>
      <c r="O433" s="10">
        <f t="shared" si="68"/>
        <v>595.1937944282623</v>
      </c>
      <c r="P433" s="10">
        <f t="shared" si="69"/>
        <v>1063.0712469884888</v>
      </c>
      <c r="Q433" s="11">
        <f t="shared" si="72"/>
        <v>284629.95007857744</v>
      </c>
      <c r="R433" s="9"/>
      <c r="S433" s="92">
        <f t="shared" si="70"/>
        <v>52</v>
      </c>
      <c r="V433" s="104">
        <f t="shared" si="63"/>
        <v>2107.09261628104</v>
      </c>
    </row>
    <row r="434" spans="2:22" ht="12.75">
      <c r="B434" s="9">
        <v>53</v>
      </c>
      <c r="C434" s="9" t="s">
        <v>31</v>
      </c>
      <c r="D434" s="10">
        <f t="shared" si="64"/>
        <v>448.82757486428903</v>
      </c>
      <c r="E434" s="10">
        <f t="shared" si="65"/>
        <v>43.341980965647366</v>
      </c>
      <c r="F434" s="10">
        <f t="shared" si="66"/>
        <v>405.4855938986417</v>
      </c>
      <c r="G434" s="11">
        <f t="shared" si="71"/>
        <v>68941.68395113714</v>
      </c>
      <c r="I434" s="92">
        <f t="shared" si="73"/>
        <v>53</v>
      </c>
      <c r="L434" s="9">
        <v>53</v>
      </c>
      <c r="M434" s="9" t="s">
        <v>31</v>
      </c>
      <c r="N434" s="10">
        <f t="shared" si="67"/>
        <v>1658.265041416751</v>
      </c>
      <c r="O434" s="10">
        <f t="shared" si="68"/>
        <v>592.9790626637031</v>
      </c>
      <c r="P434" s="10">
        <f t="shared" si="69"/>
        <v>1065.2859787530479</v>
      </c>
      <c r="Q434" s="11">
        <f t="shared" si="72"/>
        <v>283564.6640998244</v>
      </c>
      <c r="R434" s="9"/>
      <c r="S434" s="92">
        <f t="shared" si="70"/>
        <v>53</v>
      </c>
      <c r="V434" s="104">
        <f t="shared" si="63"/>
        <v>2107.09261628104</v>
      </c>
    </row>
    <row r="435" spans="2:22" ht="12.75">
      <c r="B435" s="9">
        <v>54</v>
      </c>
      <c r="C435" s="9" t="s">
        <v>32</v>
      </c>
      <c r="D435" s="10">
        <f t="shared" si="64"/>
        <v>448.82757486428903</v>
      </c>
      <c r="E435" s="10">
        <f t="shared" si="65"/>
        <v>43.088552469460716</v>
      </c>
      <c r="F435" s="10">
        <f t="shared" si="66"/>
        <v>405.73902239482834</v>
      </c>
      <c r="G435" s="11">
        <f t="shared" si="71"/>
        <v>68535.9449287423</v>
      </c>
      <c r="I435" s="92">
        <f t="shared" si="73"/>
        <v>54</v>
      </c>
      <c r="L435" s="9">
        <v>54</v>
      </c>
      <c r="M435" s="9" t="s">
        <v>32</v>
      </c>
      <c r="N435" s="10">
        <f t="shared" si="67"/>
        <v>1658.265041416751</v>
      </c>
      <c r="O435" s="10">
        <f t="shared" si="68"/>
        <v>590.7597168746341</v>
      </c>
      <c r="P435" s="10">
        <f t="shared" si="69"/>
        <v>1067.5053245421168</v>
      </c>
      <c r="Q435" s="11">
        <f t="shared" si="72"/>
        <v>282497.15877528227</v>
      </c>
      <c r="R435" s="9"/>
      <c r="S435" s="92">
        <f t="shared" si="70"/>
        <v>54</v>
      </c>
      <c r="V435" s="104">
        <f t="shared" si="63"/>
        <v>2107.09261628104</v>
      </c>
    </row>
    <row r="436" spans="2:22" ht="12.75">
      <c r="B436" s="9">
        <v>55</v>
      </c>
      <c r="C436" s="9" t="s">
        <v>33</v>
      </c>
      <c r="D436" s="10">
        <f t="shared" si="64"/>
        <v>448.82757486428903</v>
      </c>
      <c r="E436" s="10">
        <f t="shared" si="65"/>
        <v>42.834965580463944</v>
      </c>
      <c r="F436" s="10">
        <f t="shared" si="66"/>
        <v>405.9926092838251</v>
      </c>
      <c r="G436" s="11">
        <f t="shared" si="71"/>
        <v>68129.95231945848</v>
      </c>
      <c r="I436" s="92">
        <f t="shared" si="73"/>
        <v>55</v>
      </c>
      <c r="L436" s="9">
        <v>55</v>
      </c>
      <c r="M436" s="9" t="s">
        <v>33</v>
      </c>
      <c r="N436" s="10">
        <f t="shared" si="67"/>
        <v>1658.265041416751</v>
      </c>
      <c r="O436" s="10">
        <f t="shared" si="68"/>
        <v>588.5357474485048</v>
      </c>
      <c r="P436" s="10">
        <f t="shared" si="69"/>
        <v>1069.729293968246</v>
      </c>
      <c r="Q436" s="11">
        <f t="shared" si="72"/>
        <v>281427.42948131403</v>
      </c>
      <c r="R436" s="9"/>
      <c r="S436" s="92">
        <f t="shared" si="70"/>
        <v>55</v>
      </c>
      <c r="V436" s="104">
        <f t="shared" si="63"/>
        <v>2107.09261628104</v>
      </c>
    </row>
    <row r="437" spans="2:22" ht="12.75">
      <c r="B437" s="9">
        <v>56</v>
      </c>
      <c r="C437" s="9" t="s">
        <v>34</v>
      </c>
      <c r="D437" s="10">
        <f t="shared" si="64"/>
        <v>448.82757486428903</v>
      </c>
      <c r="E437" s="10">
        <f t="shared" si="65"/>
        <v>42.581220199661544</v>
      </c>
      <c r="F437" s="10">
        <f t="shared" si="66"/>
        <v>406.24635466462746</v>
      </c>
      <c r="G437" s="11">
        <f t="shared" si="71"/>
        <v>67723.70596479384</v>
      </c>
      <c r="I437" s="92">
        <f t="shared" si="73"/>
        <v>56</v>
      </c>
      <c r="L437" s="9">
        <v>56</v>
      </c>
      <c r="M437" s="9" t="s">
        <v>34</v>
      </c>
      <c r="N437" s="10">
        <f t="shared" si="67"/>
        <v>1658.265041416751</v>
      </c>
      <c r="O437" s="10">
        <f t="shared" si="68"/>
        <v>586.3071447527376</v>
      </c>
      <c r="P437" s="10">
        <f t="shared" si="69"/>
        <v>1071.9578966640133</v>
      </c>
      <c r="Q437" s="11">
        <f t="shared" si="72"/>
        <v>280355.47158465</v>
      </c>
      <c r="R437" s="9"/>
      <c r="S437" s="92">
        <f t="shared" si="70"/>
        <v>56</v>
      </c>
      <c r="V437" s="104">
        <f t="shared" si="63"/>
        <v>2107.09261628104</v>
      </c>
    </row>
    <row r="438" spans="2:22" ht="12.75">
      <c r="B438" s="9">
        <v>57</v>
      </c>
      <c r="C438" s="9" t="s">
        <v>35</v>
      </c>
      <c r="D438" s="10">
        <f t="shared" si="64"/>
        <v>448.82757486428903</v>
      </c>
      <c r="E438" s="10">
        <f t="shared" si="65"/>
        <v>42.32731622799615</v>
      </c>
      <c r="F438" s="10">
        <f t="shared" si="66"/>
        <v>406.50025863629287</v>
      </c>
      <c r="G438" s="11">
        <f t="shared" si="71"/>
        <v>67317.20570615755</v>
      </c>
      <c r="I438" s="92">
        <f t="shared" si="73"/>
        <v>57</v>
      </c>
      <c r="L438" s="9">
        <v>57</v>
      </c>
      <c r="M438" s="9" t="s">
        <v>35</v>
      </c>
      <c r="N438" s="10">
        <f t="shared" si="67"/>
        <v>1658.265041416751</v>
      </c>
      <c r="O438" s="10">
        <f t="shared" si="68"/>
        <v>584.0738991346874</v>
      </c>
      <c r="P438" s="10">
        <f t="shared" si="69"/>
        <v>1074.1911422820635</v>
      </c>
      <c r="Q438" s="11">
        <f t="shared" si="72"/>
        <v>279281.28044236795</v>
      </c>
      <c r="R438" s="9"/>
      <c r="S438" s="92">
        <f t="shared" si="70"/>
        <v>57</v>
      </c>
      <c r="V438" s="104">
        <f t="shared" si="63"/>
        <v>2107.09261628104</v>
      </c>
    </row>
    <row r="439" spans="2:22" ht="12.75">
      <c r="B439" s="9">
        <v>58</v>
      </c>
      <c r="C439" s="9" t="s">
        <v>36</v>
      </c>
      <c r="D439" s="10">
        <f t="shared" si="64"/>
        <v>448.82757486428903</v>
      </c>
      <c r="E439" s="10">
        <f t="shared" si="65"/>
        <v>42.07325356634847</v>
      </c>
      <c r="F439" s="10">
        <f t="shared" si="66"/>
        <v>406.7543212979406</v>
      </c>
      <c r="G439" s="11">
        <f t="shared" si="71"/>
        <v>66910.45138485961</v>
      </c>
      <c r="I439" s="92">
        <f t="shared" si="73"/>
        <v>58</v>
      </c>
      <c r="L439" s="9">
        <v>58</v>
      </c>
      <c r="M439" s="9" t="s">
        <v>36</v>
      </c>
      <c r="N439" s="10">
        <f t="shared" si="67"/>
        <v>1658.265041416751</v>
      </c>
      <c r="O439" s="10">
        <f t="shared" si="68"/>
        <v>581.8360009216</v>
      </c>
      <c r="P439" s="10">
        <f t="shared" si="69"/>
        <v>1076.4290404951512</v>
      </c>
      <c r="Q439" s="11">
        <f t="shared" si="72"/>
        <v>278204.8514018728</v>
      </c>
      <c r="R439" s="9"/>
      <c r="S439" s="92">
        <f t="shared" si="70"/>
        <v>58</v>
      </c>
      <c r="V439" s="104">
        <f t="shared" si="63"/>
        <v>2107.09261628104</v>
      </c>
    </row>
    <row r="440" spans="2:22" ht="12.75">
      <c r="B440" s="9">
        <v>59</v>
      </c>
      <c r="C440" s="9" t="s">
        <v>37</v>
      </c>
      <c r="D440" s="10">
        <f t="shared" si="64"/>
        <v>448.82757486428903</v>
      </c>
      <c r="E440" s="10">
        <f t="shared" si="65"/>
        <v>41.819032115537254</v>
      </c>
      <c r="F440" s="10">
        <f t="shared" si="66"/>
        <v>407.0085427487518</v>
      </c>
      <c r="G440" s="11">
        <f t="shared" si="71"/>
        <v>66503.44284211086</v>
      </c>
      <c r="I440" s="92">
        <f t="shared" si="73"/>
        <v>59</v>
      </c>
      <c r="L440" s="9">
        <v>59</v>
      </c>
      <c r="M440" s="9" t="s">
        <v>37</v>
      </c>
      <c r="N440" s="10">
        <f t="shared" si="67"/>
        <v>1658.265041416751</v>
      </c>
      <c r="O440" s="10">
        <f t="shared" si="68"/>
        <v>579.5934404205684</v>
      </c>
      <c r="P440" s="10">
        <f t="shared" si="69"/>
        <v>1078.6716009961826</v>
      </c>
      <c r="Q440" s="11">
        <f t="shared" si="72"/>
        <v>277126.17980087665</v>
      </c>
      <c r="R440" s="9"/>
      <c r="S440" s="92">
        <f t="shared" si="70"/>
        <v>59</v>
      </c>
      <c r="V440" s="104">
        <f t="shared" si="63"/>
        <v>2107.09261628104</v>
      </c>
    </row>
    <row r="441" spans="2:22" ht="12.75">
      <c r="B441" s="9">
        <v>60</v>
      </c>
      <c r="C441" s="9" t="s">
        <v>38</v>
      </c>
      <c r="D441" s="10">
        <f t="shared" si="64"/>
        <v>448.82757486428903</v>
      </c>
      <c r="E441" s="10">
        <f t="shared" si="65"/>
        <v>41.56465177631929</v>
      </c>
      <c r="F441" s="10">
        <f t="shared" si="66"/>
        <v>407.26292308796974</v>
      </c>
      <c r="G441" s="11">
        <f t="shared" si="71"/>
        <v>66096.17991902289</v>
      </c>
      <c r="I441" s="92">
        <f t="shared" si="73"/>
        <v>60</v>
      </c>
      <c r="L441" s="9">
        <v>60</v>
      </c>
      <c r="M441" s="9" t="s">
        <v>38</v>
      </c>
      <c r="N441" s="10">
        <f t="shared" si="67"/>
        <v>1658.265041416751</v>
      </c>
      <c r="O441" s="10">
        <f t="shared" si="68"/>
        <v>577.3462079184931</v>
      </c>
      <c r="P441" s="10">
        <f t="shared" si="69"/>
        <v>1080.918833498258</v>
      </c>
      <c r="Q441" s="11">
        <f t="shared" si="72"/>
        <v>276045.2609673784</v>
      </c>
      <c r="R441" s="9"/>
      <c r="S441" s="92">
        <f t="shared" si="70"/>
        <v>60</v>
      </c>
      <c r="V441" s="104">
        <f t="shared" si="63"/>
        <v>2748.4308586633933</v>
      </c>
    </row>
    <row r="442" spans="2:23" ht="12.75">
      <c r="B442" s="84">
        <v>61</v>
      </c>
      <c r="C442" s="84" t="s">
        <v>27</v>
      </c>
      <c r="D442" s="85">
        <f t="shared" si="64"/>
        <v>448.82757486428903</v>
      </c>
      <c r="E442" s="85">
        <f t="shared" si="65"/>
        <v>41.31011244938931</v>
      </c>
      <c r="F442" s="85">
        <f t="shared" si="66"/>
        <v>407.51746241489974</v>
      </c>
      <c r="G442" s="86">
        <f t="shared" si="71"/>
        <v>65688.662456608</v>
      </c>
      <c r="I442" s="92">
        <f t="shared" si="73"/>
        <v>61</v>
      </c>
      <c r="J442" s="128">
        <f>(SUM(D430:D441)+J430)</f>
        <v>26929.65449185734</v>
      </c>
      <c r="K442">
        <v>5</v>
      </c>
      <c r="L442" s="84">
        <v>61</v>
      </c>
      <c r="M442" s="84" t="s">
        <v>27</v>
      </c>
      <c r="N442" s="85">
        <f t="shared" si="67"/>
        <v>1658.265041416751</v>
      </c>
      <c r="O442" s="85">
        <f t="shared" si="68"/>
        <v>575.0942936820384</v>
      </c>
      <c r="P442" s="85">
        <f t="shared" si="69"/>
        <v>1083.1707477347127</v>
      </c>
      <c r="Q442" s="86">
        <f t="shared" si="72"/>
        <v>274320.75197726133</v>
      </c>
      <c r="R442" s="68">
        <f>IF((Q441-P442)&gt;Energie!S13,Energie!S13,(Q441-P442))</f>
        <v>641.3382423823532</v>
      </c>
      <c r="S442" s="92">
        <f t="shared" si="70"/>
        <v>61</v>
      </c>
      <c r="T442" s="128"/>
      <c r="U442" s="128">
        <f>(SUM(N430:N441)+R442+U430)</f>
        <v>102390.1159420602</v>
      </c>
      <c r="V442" s="104">
        <f t="shared" si="63"/>
        <v>2107.09261628104</v>
      </c>
      <c r="W442" s="104">
        <f>SUM(V430:V441)</f>
        <v>25926.449637754828</v>
      </c>
    </row>
    <row r="443" spans="2:22" ht="12.75">
      <c r="B443" s="9">
        <v>62</v>
      </c>
      <c r="C443" s="9" t="s">
        <v>28</v>
      </c>
      <c r="D443" s="10">
        <f t="shared" si="64"/>
        <v>448.82757486428903</v>
      </c>
      <c r="E443" s="10">
        <f t="shared" si="65"/>
        <v>41.05541403538</v>
      </c>
      <c r="F443" s="10">
        <f t="shared" si="66"/>
        <v>407.772160828909</v>
      </c>
      <c r="G443" s="11">
        <f t="shared" si="71"/>
        <v>65280.89029577909</v>
      </c>
      <c r="I443" s="92">
        <f t="shared" si="73"/>
        <v>62</v>
      </c>
      <c r="L443" s="9">
        <v>62</v>
      </c>
      <c r="M443" s="9" t="s">
        <v>28</v>
      </c>
      <c r="N443" s="10">
        <f t="shared" si="67"/>
        <v>1658.265041416751</v>
      </c>
      <c r="O443" s="10">
        <f t="shared" si="68"/>
        <v>571.5015666192945</v>
      </c>
      <c r="P443" s="10">
        <f t="shared" si="69"/>
        <v>1086.7634747974566</v>
      </c>
      <c r="Q443" s="11">
        <f t="shared" si="72"/>
        <v>273233.98850246385</v>
      </c>
      <c r="R443" s="9"/>
      <c r="S443" s="92">
        <f t="shared" si="70"/>
        <v>62</v>
      </c>
      <c r="V443" s="104">
        <f t="shared" si="63"/>
        <v>2107.09261628104</v>
      </c>
    </row>
    <row r="444" spans="2:22" ht="12.75">
      <c r="B444" s="9">
        <v>63</v>
      </c>
      <c r="C444" s="9" t="s">
        <v>29</v>
      </c>
      <c r="D444" s="10">
        <f t="shared" si="64"/>
        <v>448.82757486428903</v>
      </c>
      <c r="E444" s="10">
        <f t="shared" si="65"/>
        <v>40.80055643486193</v>
      </c>
      <c r="F444" s="10">
        <f t="shared" si="66"/>
        <v>408.02701842942713</v>
      </c>
      <c r="G444" s="11">
        <f t="shared" si="71"/>
        <v>64872.863277349665</v>
      </c>
      <c r="I444" s="92">
        <f t="shared" si="73"/>
        <v>63</v>
      </c>
      <c r="L444" s="9">
        <v>63</v>
      </c>
      <c r="M444" s="9" t="s">
        <v>29</v>
      </c>
      <c r="N444" s="10">
        <f t="shared" si="67"/>
        <v>1658.265041416751</v>
      </c>
      <c r="O444" s="10">
        <f t="shared" si="68"/>
        <v>569.2374760467997</v>
      </c>
      <c r="P444" s="10">
        <f t="shared" si="69"/>
        <v>1089.0275653699514</v>
      </c>
      <c r="Q444" s="11">
        <f t="shared" si="72"/>
        <v>272144.9609370939</v>
      </c>
      <c r="R444" s="9"/>
      <c r="S444" s="92">
        <f t="shared" si="70"/>
        <v>63</v>
      </c>
      <c r="V444" s="104">
        <f t="shared" si="63"/>
        <v>2107.09261628104</v>
      </c>
    </row>
    <row r="445" spans="2:22" ht="12.75">
      <c r="B445" s="9">
        <v>64</v>
      </c>
      <c r="C445" s="9" t="s">
        <v>30</v>
      </c>
      <c r="D445" s="10">
        <f t="shared" si="64"/>
        <v>448.82757486428903</v>
      </c>
      <c r="E445" s="10">
        <f t="shared" si="65"/>
        <v>40.54553954834354</v>
      </c>
      <c r="F445" s="10">
        <f t="shared" si="66"/>
        <v>408.2820353159455</v>
      </c>
      <c r="G445" s="11">
        <f t="shared" si="71"/>
        <v>64464.58124203372</v>
      </c>
      <c r="I445" s="92">
        <f t="shared" si="73"/>
        <v>64</v>
      </c>
      <c r="L445" s="9">
        <v>64</v>
      </c>
      <c r="M445" s="9" t="s">
        <v>30</v>
      </c>
      <c r="N445" s="10">
        <f t="shared" si="67"/>
        <v>1658.265041416751</v>
      </c>
      <c r="O445" s="10">
        <f t="shared" si="68"/>
        <v>566.9686686189456</v>
      </c>
      <c r="P445" s="10">
        <f t="shared" si="69"/>
        <v>1091.2963727978054</v>
      </c>
      <c r="Q445" s="11">
        <f t="shared" si="72"/>
        <v>271053.6645642961</v>
      </c>
      <c r="R445" s="9"/>
      <c r="S445" s="92">
        <f t="shared" si="70"/>
        <v>64</v>
      </c>
      <c r="V445" s="104">
        <f t="shared" si="63"/>
        <v>2107.09261628104</v>
      </c>
    </row>
    <row r="446" spans="2:22" ht="12.75">
      <c r="B446" s="9">
        <v>65</v>
      </c>
      <c r="C446" s="9" t="s">
        <v>31</v>
      </c>
      <c r="D446" s="10">
        <f t="shared" si="64"/>
        <v>448.82757486428903</v>
      </c>
      <c r="E446" s="10">
        <f t="shared" si="65"/>
        <v>40.29036327627107</v>
      </c>
      <c r="F446" s="10">
        <f t="shared" si="66"/>
        <v>408.53721158801795</v>
      </c>
      <c r="G446" s="11">
        <f t="shared" si="71"/>
        <v>64056.0440304457</v>
      </c>
      <c r="I446" s="92">
        <f t="shared" si="73"/>
        <v>65</v>
      </c>
      <c r="L446" s="9">
        <v>65</v>
      </c>
      <c r="M446" s="9" t="s">
        <v>31</v>
      </c>
      <c r="N446" s="10">
        <f t="shared" si="67"/>
        <v>1658.265041416751</v>
      </c>
      <c r="O446" s="10">
        <f t="shared" si="68"/>
        <v>564.6951345089501</v>
      </c>
      <c r="P446" s="10">
        <f t="shared" si="69"/>
        <v>1093.569906907801</v>
      </c>
      <c r="Q446" s="11">
        <f t="shared" si="72"/>
        <v>269960.0946573883</v>
      </c>
      <c r="R446" s="9"/>
      <c r="S446" s="92">
        <f aca="true" t="shared" si="74" ref="S446:S517">IF(O446&gt;0,L446,"")</f>
        <v>65</v>
      </c>
      <c r="V446" s="104">
        <f aca="true" t="shared" si="75" ref="V446:V515">SUM(D446+N446+R447)</f>
        <v>2107.09261628104</v>
      </c>
    </row>
    <row r="447" spans="2:22" ht="12.75">
      <c r="B447" s="9">
        <v>66</v>
      </c>
      <c r="C447" s="9" t="s">
        <v>32</v>
      </c>
      <c r="D447" s="10">
        <f aca="true" t="shared" si="76" ref="D447:D516">IF(G446&lt;D$376,G446+E447,D$376)</f>
        <v>448.82757486428903</v>
      </c>
      <c r="E447" s="10">
        <f aca="true" t="shared" si="77" ref="E447:E516">IF(G446/100*E$376/12&lt;0,0,G446/100*E$376/12)</f>
        <v>40.03502751902856</v>
      </c>
      <c r="F447" s="10">
        <f aca="true" t="shared" si="78" ref="F447:F516">D447-E447</f>
        <v>408.79254734526046</v>
      </c>
      <c r="G447" s="11">
        <f aca="true" t="shared" si="79" ref="G447:G516">G446-F447-H446</f>
        <v>63647.25148310044</v>
      </c>
      <c r="I447" s="92">
        <f t="shared" si="73"/>
        <v>66</v>
      </c>
      <c r="L447" s="9">
        <v>66</v>
      </c>
      <c r="M447" s="9" t="s">
        <v>32</v>
      </c>
      <c r="N447" s="10">
        <f aca="true" t="shared" si="80" ref="N447:N501">IF(Q446&lt;N$376,Q446+O447,N$376)</f>
        <v>1658.265041416751</v>
      </c>
      <c r="O447" s="10">
        <f aca="true" t="shared" si="81" ref="O447:O516">IF(Q446/100*O$376/12&lt;0,0,Q446/100*O$376/12)</f>
        <v>562.4168638695589</v>
      </c>
      <c r="P447" s="10">
        <f aca="true" t="shared" si="82" ref="P447:P516">N447-O447</f>
        <v>1095.848177547192</v>
      </c>
      <c r="Q447" s="11">
        <f t="shared" si="72"/>
        <v>268864.24647984107</v>
      </c>
      <c r="R447" s="9"/>
      <c r="S447" s="92">
        <f t="shared" si="74"/>
        <v>66</v>
      </c>
      <c r="V447" s="104">
        <f t="shared" si="75"/>
        <v>2107.09261628104</v>
      </c>
    </row>
    <row r="448" spans="2:22" ht="12.75">
      <c r="B448" s="9">
        <v>67</v>
      </c>
      <c r="C448" s="9" t="s">
        <v>33</v>
      </c>
      <c r="D448" s="10">
        <f t="shared" si="76"/>
        <v>448.82757486428903</v>
      </c>
      <c r="E448" s="10">
        <f t="shared" si="77"/>
        <v>39.77953217693777</v>
      </c>
      <c r="F448" s="10">
        <f t="shared" si="78"/>
        <v>409.04804268735126</v>
      </c>
      <c r="G448" s="11">
        <f t="shared" si="79"/>
        <v>63238.20344041308</v>
      </c>
      <c r="I448" s="92">
        <f t="shared" si="73"/>
        <v>67</v>
      </c>
      <c r="L448" s="9">
        <v>67</v>
      </c>
      <c r="M448" s="9" t="s">
        <v>33</v>
      </c>
      <c r="N448" s="10">
        <f t="shared" si="80"/>
        <v>1658.265041416751</v>
      </c>
      <c r="O448" s="10">
        <f t="shared" si="81"/>
        <v>560.1338468330023</v>
      </c>
      <c r="P448" s="10">
        <f t="shared" si="82"/>
        <v>1098.1311945837488</v>
      </c>
      <c r="Q448" s="11">
        <f t="shared" si="72"/>
        <v>267766.11528525734</v>
      </c>
      <c r="R448" s="9"/>
      <c r="S448" s="92">
        <f t="shared" si="74"/>
        <v>67</v>
      </c>
      <c r="V448" s="104">
        <f t="shared" si="75"/>
        <v>2107.09261628104</v>
      </c>
    </row>
    <row r="449" spans="2:22" ht="12.75">
      <c r="B449" s="9">
        <v>68</v>
      </c>
      <c r="C449" s="9" t="s">
        <v>34</v>
      </c>
      <c r="D449" s="10">
        <f t="shared" si="76"/>
        <v>448.82757486428903</v>
      </c>
      <c r="E449" s="10">
        <f t="shared" si="77"/>
        <v>39.52387715025818</v>
      </c>
      <c r="F449" s="10">
        <f t="shared" si="78"/>
        <v>409.3036977140309</v>
      </c>
      <c r="G449" s="11">
        <f t="shared" si="79"/>
        <v>62828.89974269905</v>
      </c>
      <c r="I449" s="92">
        <f t="shared" si="73"/>
        <v>68</v>
      </c>
      <c r="L449" s="9">
        <v>68</v>
      </c>
      <c r="M449" s="9" t="s">
        <v>34</v>
      </c>
      <c r="N449" s="10">
        <f t="shared" si="80"/>
        <v>1658.265041416751</v>
      </c>
      <c r="O449" s="10">
        <f t="shared" si="81"/>
        <v>557.8460735109528</v>
      </c>
      <c r="P449" s="10">
        <f t="shared" si="82"/>
        <v>1100.4189679057981</v>
      </c>
      <c r="Q449" s="11">
        <f aca="true" t="shared" si="83" ref="Q449:Q518">Q448-P449-R449</f>
        <v>266665.69631735154</v>
      </c>
      <c r="R449" s="9"/>
      <c r="S449" s="92">
        <f t="shared" si="74"/>
        <v>68</v>
      </c>
      <c r="V449" s="104">
        <f t="shared" si="75"/>
        <v>2107.09261628104</v>
      </c>
    </row>
    <row r="450" spans="2:22" ht="12.75">
      <c r="B450" s="9">
        <v>69</v>
      </c>
      <c r="C450" s="9" t="s">
        <v>35</v>
      </c>
      <c r="D450" s="10">
        <f t="shared" si="76"/>
        <v>448.82757486428903</v>
      </c>
      <c r="E450" s="10">
        <f t="shared" si="77"/>
        <v>39.26806233918691</v>
      </c>
      <c r="F450" s="10">
        <f t="shared" si="78"/>
        <v>409.55951252510215</v>
      </c>
      <c r="G450" s="11">
        <f t="shared" si="79"/>
        <v>62419.34023017395</v>
      </c>
      <c r="I450" s="92">
        <f t="shared" si="73"/>
        <v>69</v>
      </c>
      <c r="L450" s="9">
        <v>69</v>
      </c>
      <c r="M450" s="9" t="s">
        <v>35</v>
      </c>
      <c r="N450" s="10">
        <f t="shared" si="80"/>
        <v>1658.265041416751</v>
      </c>
      <c r="O450" s="10">
        <f t="shared" si="81"/>
        <v>555.5535339944823</v>
      </c>
      <c r="P450" s="10">
        <f t="shared" si="82"/>
        <v>1102.7115074222688</v>
      </c>
      <c r="Q450" s="11">
        <f t="shared" si="83"/>
        <v>265562.9848099293</v>
      </c>
      <c r="R450" s="9"/>
      <c r="S450" s="92">
        <f t="shared" si="74"/>
        <v>69</v>
      </c>
      <c r="V450" s="104">
        <f t="shared" si="75"/>
        <v>2107.09261628104</v>
      </c>
    </row>
    <row r="451" spans="2:22" ht="12.75">
      <c r="B451" s="9">
        <v>70</v>
      </c>
      <c r="C451" s="9" t="s">
        <v>36</v>
      </c>
      <c r="D451" s="10">
        <f t="shared" si="76"/>
        <v>448.82757486428903</v>
      </c>
      <c r="E451" s="10">
        <f t="shared" si="77"/>
        <v>39.01208764385872</v>
      </c>
      <c r="F451" s="10">
        <f t="shared" si="78"/>
        <v>409.8154872204303</v>
      </c>
      <c r="G451" s="11">
        <f t="shared" si="79"/>
        <v>62009.524742953516</v>
      </c>
      <c r="I451" s="92">
        <f t="shared" si="73"/>
        <v>70</v>
      </c>
      <c r="L451" s="9">
        <v>70</v>
      </c>
      <c r="M451" s="9" t="s">
        <v>36</v>
      </c>
      <c r="N451" s="10">
        <f t="shared" si="80"/>
        <v>1658.265041416751</v>
      </c>
      <c r="O451" s="10">
        <f t="shared" si="81"/>
        <v>553.2562183540193</v>
      </c>
      <c r="P451" s="10">
        <f t="shared" si="82"/>
        <v>1105.0088230627316</v>
      </c>
      <c r="Q451" s="11">
        <f t="shared" si="83"/>
        <v>264457.9759868665</v>
      </c>
      <c r="R451" s="9"/>
      <c r="S451" s="92">
        <f t="shared" si="74"/>
        <v>70</v>
      </c>
      <c r="V451" s="104">
        <f t="shared" si="75"/>
        <v>2107.09261628104</v>
      </c>
    </row>
    <row r="452" spans="2:22" ht="12.75">
      <c r="B452" s="9">
        <v>71</v>
      </c>
      <c r="C452" s="9" t="s">
        <v>37</v>
      </c>
      <c r="D452" s="10">
        <f t="shared" si="76"/>
        <v>448.82757486428903</v>
      </c>
      <c r="E452" s="10">
        <f t="shared" si="77"/>
        <v>38.755952964345944</v>
      </c>
      <c r="F452" s="10">
        <f t="shared" si="78"/>
        <v>410.07162189994307</v>
      </c>
      <c r="G452" s="11">
        <f t="shared" si="79"/>
        <v>61599.45312105357</v>
      </c>
      <c r="I452" s="92">
        <f t="shared" si="73"/>
        <v>71</v>
      </c>
      <c r="L452" s="9">
        <v>71</v>
      </c>
      <c r="M452" s="9" t="s">
        <v>37</v>
      </c>
      <c r="N452" s="10">
        <f t="shared" si="80"/>
        <v>1658.265041416751</v>
      </c>
      <c r="O452" s="10">
        <f t="shared" si="81"/>
        <v>550.9541166393052</v>
      </c>
      <c r="P452" s="10">
        <f t="shared" si="82"/>
        <v>1107.310924777446</v>
      </c>
      <c r="Q452" s="11">
        <f t="shared" si="83"/>
        <v>263350.66506208904</v>
      </c>
      <c r="R452" s="9"/>
      <c r="S452" s="92">
        <f t="shared" si="74"/>
        <v>71</v>
      </c>
      <c r="V452" s="104">
        <f t="shared" si="75"/>
        <v>2107.09261628104</v>
      </c>
    </row>
    <row r="453" spans="2:22" ht="12.75">
      <c r="B453" s="9">
        <v>72</v>
      </c>
      <c r="C453" s="9" t="s">
        <v>38</v>
      </c>
      <c r="D453" s="10">
        <f t="shared" si="76"/>
        <v>448.82757486428903</v>
      </c>
      <c r="E453" s="10">
        <f t="shared" si="77"/>
        <v>38.49965820065848</v>
      </c>
      <c r="F453" s="10">
        <f t="shared" si="78"/>
        <v>410.32791666363056</v>
      </c>
      <c r="G453" s="11">
        <f t="shared" si="79"/>
        <v>61189.125204389944</v>
      </c>
      <c r="I453" s="92">
        <f t="shared" si="73"/>
        <v>72</v>
      </c>
      <c r="L453" s="9">
        <v>72</v>
      </c>
      <c r="M453" s="9" t="s">
        <v>38</v>
      </c>
      <c r="N453" s="10">
        <f t="shared" si="80"/>
        <v>1658.265041416751</v>
      </c>
      <c r="O453" s="10">
        <f t="shared" si="81"/>
        <v>548.6472188793522</v>
      </c>
      <c r="P453" s="10">
        <f t="shared" si="82"/>
        <v>1109.6178225373988</v>
      </c>
      <c r="Q453" s="11">
        <f t="shared" si="83"/>
        <v>262241.04723955167</v>
      </c>
      <c r="R453" s="9"/>
      <c r="S453" s="92">
        <f t="shared" si="74"/>
        <v>72</v>
      </c>
      <c r="V453" s="104">
        <f t="shared" si="75"/>
        <v>2782.912372860183</v>
      </c>
    </row>
    <row r="454" spans="2:23" ht="12.75">
      <c r="B454" s="84">
        <v>73</v>
      </c>
      <c r="C454" s="84" t="s">
        <v>27</v>
      </c>
      <c r="D454" s="85">
        <f t="shared" si="76"/>
        <v>448.82757486428903</v>
      </c>
      <c r="E454" s="85">
        <f t="shared" si="77"/>
        <v>38.24320325274371</v>
      </c>
      <c r="F454" s="85">
        <f t="shared" si="78"/>
        <v>410.5843716115453</v>
      </c>
      <c r="G454" s="86">
        <f t="shared" si="79"/>
        <v>60778.540832778395</v>
      </c>
      <c r="I454" s="92">
        <f t="shared" si="73"/>
        <v>73</v>
      </c>
      <c r="J454" s="128">
        <f>(SUM(D442:D453)+J442)</f>
        <v>32315.58539022881</v>
      </c>
      <c r="K454">
        <v>6</v>
      </c>
      <c r="L454" s="84">
        <v>73</v>
      </c>
      <c r="M454" s="84" t="s">
        <v>27</v>
      </c>
      <c r="N454" s="85">
        <f t="shared" si="80"/>
        <v>1658.265041416751</v>
      </c>
      <c r="O454" s="85">
        <f t="shared" si="81"/>
        <v>546.3355150823993</v>
      </c>
      <c r="P454" s="85">
        <f t="shared" si="82"/>
        <v>1111.9295263343517</v>
      </c>
      <c r="Q454" s="86">
        <f t="shared" si="83"/>
        <v>260453.29795663818</v>
      </c>
      <c r="R454" s="68">
        <f>IF((Q453-P454)&gt;Energie!S14,Energie!S14,(Q453-P454))</f>
        <v>675.8197565791428</v>
      </c>
      <c r="S454" s="92">
        <f t="shared" si="74"/>
        <v>73</v>
      </c>
      <c r="T454" s="128"/>
      <c r="U454" s="128">
        <f>(SUM(N442:N453)+R454+U442)</f>
        <v>122965.11619564035</v>
      </c>
      <c r="V454" s="104">
        <f t="shared" si="75"/>
        <v>2107.09261628104</v>
      </c>
      <c r="W454" s="104">
        <f>SUM(V442:V453)</f>
        <v>25960.93115195162</v>
      </c>
    </row>
    <row r="455" spans="2:22" ht="12.75">
      <c r="B455" s="9">
        <v>74</v>
      </c>
      <c r="C455" s="9" t="s">
        <v>28</v>
      </c>
      <c r="D455" s="10">
        <f t="shared" si="76"/>
        <v>448.82757486428903</v>
      </c>
      <c r="E455" s="10">
        <f t="shared" si="77"/>
        <v>37.986588020486494</v>
      </c>
      <c r="F455" s="10">
        <f t="shared" si="78"/>
        <v>410.8409868438025</v>
      </c>
      <c r="G455" s="11">
        <f t="shared" si="79"/>
        <v>60367.69984593459</v>
      </c>
      <c r="I455" s="92">
        <f t="shared" si="73"/>
        <v>74</v>
      </c>
      <c r="L455" s="9">
        <v>74</v>
      </c>
      <c r="M455" s="9" t="s">
        <v>28</v>
      </c>
      <c r="N455" s="10">
        <f t="shared" si="80"/>
        <v>1658.265041416751</v>
      </c>
      <c r="O455" s="10">
        <f t="shared" si="81"/>
        <v>542.6110374096629</v>
      </c>
      <c r="P455" s="10">
        <f t="shared" si="82"/>
        <v>1115.6540040070881</v>
      </c>
      <c r="Q455" s="11">
        <f t="shared" si="83"/>
        <v>259337.6439526311</v>
      </c>
      <c r="R455" s="9"/>
      <c r="S455" s="92">
        <f t="shared" si="74"/>
        <v>74</v>
      </c>
      <c r="V455" s="104">
        <f t="shared" si="75"/>
        <v>2107.09261628104</v>
      </c>
    </row>
    <row r="456" spans="2:22" ht="12.75">
      <c r="B456" s="9">
        <v>75</v>
      </c>
      <c r="C456" s="9" t="s">
        <v>29</v>
      </c>
      <c r="D456" s="10">
        <f t="shared" si="76"/>
        <v>448.82757486428903</v>
      </c>
      <c r="E456" s="10">
        <f t="shared" si="77"/>
        <v>37.72981240370912</v>
      </c>
      <c r="F456" s="10">
        <f t="shared" si="78"/>
        <v>411.09776246057993</v>
      </c>
      <c r="G456" s="11">
        <f t="shared" si="79"/>
        <v>59956.60208347401</v>
      </c>
      <c r="I456" s="92">
        <f t="shared" si="73"/>
        <v>75</v>
      </c>
      <c r="L456" s="9">
        <v>75</v>
      </c>
      <c r="M456" s="9" t="s">
        <v>29</v>
      </c>
      <c r="N456" s="10">
        <f t="shared" si="80"/>
        <v>1658.265041416751</v>
      </c>
      <c r="O456" s="10">
        <f t="shared" si="81"/>
        <v>540.2867582346481</v>
      </c>
      <c r="P456" s="10">
        <f t="shared" si="82"/>
        <v>1117.978283182103</v>
      </c>
      <c r="Q456" s="11">
        <f t="shared" si="83"/>
        <v>258219.665669449</v>
      </c>
      <c r="R456" s="9"/>
      <c r="S456" s="92">
        <f t="shared" si="74"/>
        <v>75</v>
      </c>
      <c r="V456" s="104">
        <f t="shared" si="75"/>
        <v>2107.09261628104</v>
      </c>
    </row>
    <row r="457" spans="2:22" ht="12.75">
      <c r="B457" s="9">
        <v>76</v>
      </c>
      <c r="C457" s="9" t="s">
        <v>30</v>
      </c>
      <c r="D457" s="10">
        <f t="shared" si="76"/>
        <v>448.82757486428903</v>
      </c>
      <c r="E457" s="10">
        <f t="shared" si="77"/>
        <v>37.47287630217126</v>
      </c>
      <c r="F457" s="10">
        <f t="shared" si="78"/>
        <v>411.3546985621178</v>
      </c>
      <c r="G457" s="11">
        <f t="shared" si="79"/>
        <v>59545.2473849119</v>
      </c>
      <c r="I457" s="92">
        <f t="shared" si="73"/>
        <v>76</v>
      </c>
      <c r="L457" s="9">
        <v>76</v>
      </c>
      <c r="M457" s="9" t="s">
        <v>30</v>
      </c>
      <c r="N457" s="10">
        <f t="shared" si="80"/>
        <v>1658.265041416751</v>
      </c>
      <c r="O457" s="10">
        <f t="shared" si="81"/>
        <v>537.957636811352</v>
      </c>
      <c r="P457" s="10">
        <f t="shared" si="82"/>
        <v>1120.307404605399</v>
      </c>
      <c r="Q457" s="11">
        <f t="shared" si="83"/>
        <v>257099.35826484358</v>
      </c>
      <c r="R457" s="9"/>
      <c r="S457" s="92">
        <f t="shared" si="74"/>
        <v>76</v>
      </c>
      <c r="V457" s="104">
        <f t="shared" si="75"/>
        <v>2107.09261628104</v>
      </c>
    </row>
    <row r="458" spans="2:22" ht="12.75">
      <c r="B458" s="9">
        <v>77</v>
      </c>
      <c r="C458" s="9" t="s">
        <v>31</v>
      </c>
      <c r="D458" s="10">
        <f t="shared" si="76"/>
        <v>448.82757486428903</v>
      </c>
      <c r="E458" s="10">
        <f t="shared" si="77"/>
        <v>37.215779615569936</v>
      </c>
      <c r="F458" s="10">
        <f t="shared" si="78"/>
        <v>411.6117952487191</v>
      </c>
      <c r="G458" s="11">
        <f t="shared" si="79"/>
        <v>59133.63558966318</v>
      </c>
      <c r="I458" s="92">
        <f t="shared" si="73"/>
        <v>77</v>
      </c>
      <c r="L458" s="9">
        <v>77</v>
      </c>
      <c r="M458" s="9" t="s">
        <v>31</v>
      </c>
      <c r="N458" s="10">
        <f t="shared" si="80"/>
        <v>1658.265041416751</v>
      </c>
      <c r="O458" s="10">
        <f t="shared" si="81"/>
        <v>535.6236630517575</v>
      </c>
      <c r="P458" s="10">
        <f t="shared" si="82"/>
        <v>1122.6413783649937</v>
      </c>
      <c r="Q458" s="11">
        <f t="shared" si="83"/>
        <v>255976.7168864786</v>
      </c>
      <c r="R458" s="9"/>
      <c r="S458" s="92">
        <f t="shared" si="74"/>
        <v>77</v>
      </c>
      <c r="V458" s="104">
        <f t="shared" si="75"/>
        <v>2107.09261628104</v>
      </c>
    </row>
    <row r="459" spans="2:22" ht="12.75">
      <c r="B459" s="9">
        <v>78</v>
      </c>
      <c r="C459" s="9" t="s">
        <v>32</v>
      </c>
      <c r="D459" s="10">
        <f t="shared" si="76"/>
        <v>448.82757486428903</v>
      </c>
      <c r="E459" s="10">
        <f t="shared" si="77"/>
        <v>36.958522243539484</v>
      </c>
      <c r="F459" s="10">
        <f t="shared" si="78"/>
        <v>411.8690526207495</v>
      </c>
      <c r="G459" s="11">
        <f t="shared" si="79"/>
        <v>58721.76653704243</v>
      </c>
      <c r="I459" s="92">
        <f t="shared" si="73"/>
        <v>78</v>
      </c>
      <c r="L459" s="9">
        <v>78</v>
      </c>
      <c r="M459" s="9" t="s">
        <v>32</v>
      </c>
      <c r="N459" s="10">
        <f t="shared" si="80"/>
        <v>1658.265041416751</v>
      </c>
      <c r="O459" s="10">
        <f t="shared" si="81"/>
        <v>533.2848268468305</v>
      </c>
      <c r="P459" s="10">
        <f t="shared" si="82"/>
        <v>1124.9802145699205</v>
      </c>
      <c r="Q459" s="11">
        <f t="shared" si="83"/>
        <v>254851.73667190867</v>
      </c>
      <c r="R459" s="9"/>
      <c r="S459" s="92">
        <f t="shared" si="74"/>
        <v>78</v>
      </c>
      <c r="V459" s="104">
        <f t="shared" si="75"/>
        <v>2107.09261628104</v>
      </c>
    </row>
    <row r="460" spans="2:22" ht="12.75">
      <c r="B460" s="9">
        <v>79</v>
      </c>
      <c r="C460" s="9" t="s">
        <v>33</v>
      </c>
      <c r="D460" s="10">
        <f t="shared" si="76"/>
        <v>448.82757486428903</v>
      </c>
      <c r="E460" s="10">
        <f t="shared" si="77"/>
        <v>36.701104085651515</v>
      </c>
      <c r="F460" s="10">
        <f t="shared" si="78"/>
        <v>412.1264707786375</v>
      </c>
      <c r="G460" s="11">
        <f t="shared" si="79"/>
        <v>58309.64006626379</v>
      </c>
      <c r="I460" s="92">
        <f t="shared" si="73"/>
        <v>79</v>
      </c>
      <c r="L460" s="9">
        <v>79</v>
      </c>
      <c r="M460" s="9" t="s">
        <v>33</v>
      </c>
      <c r="N460" s="10">
        <f t="shared" si="80"/>
        <v>1658.265041416751</v>
      </c>
      <c r="O460" s="10">
        <f t="shared" si="81"/>
        <v>530.9411180664764</v>
      </c>
      <c r="P460" s="10">
        <f t="shared" si="82"/>
        <v>1127.3239233502745</v>
      </c>
      <c r="Q460" s="11">
        <f t="shared" si="83"/>
        <v>253724.4127485584</v>
      </c>
      <c r="R460" s="9"/>
      <c r="S460" s="92">
        <f t="shared" si="74"/>
        <v>79</v>
      </c>
      <c r="V460" s="104">
        <f t="shared" si="75"/>
        <v>2107.09261628104</v>
      </c>
    </row>
    <row r="461" spans="2:22" ht="12.75">
      <c r="B461" s="9">
        <v>80</v>
      </c>
      <c r="C461" s="9" t="s">
        <v>34</v>
      </c>
      <c r="D461" s="10">
        <f t="shared" si="76"/>
        <v>448.82757486428903</v>
      </c>
      <c r="E461" s="10">
        <f t="shared" si="77"/>
        <v>36.443525041414865</v>
      </c>
      <c r="F461" s="10">
        <f t="shared" si="78"/>
        <v>412.38404982287415</v>
      </c>
      <c r="G461" s="11">
        <f t="shared" si="79"/>
        <v>57897.256016440915</v>
      </c>
      <c r="I461" s="92">
        <f t="shared" si="73"/>
        <v>80</v>
      </c>
      <c r="L461" s="9">
        <v>80</v>
      </c>
      <c r="M461" s="9" t="s">
        <v>34</v>
      </c>
      <c r="N461" s="10">
        <f t="shared" si="80"/>
        <v>1658.265041416751</v>
      </c>
      <c r="O461" s="10">
        <f t="shared" si="81"/>
        <v>528.5925265594966</v>
      </c>
      <c r="P461" s="10">
        <f t="shared" si="82"/>
        <v>1129.6725148572546</v>
      </c>
      <c r="Q461" s="11">
        <f t="shared" si="83"/>
        <v>252594.74023370113</v>
      </c>
      <c r="R461" s="9"/>
      <c r="S461" s="92">
        <f t="shared" si="74"/>
        <v>80</v>
      </c>
      <c r="V461" s="104">
        <f t="shared" si="75"/>
        <v>2107.09261628104</v>
      </c>
    </row>
    <row r="462" spans="2:22" ht="12.75">
      <c r="B462" s="9">
        <v>81</v>
      </c>
      <c r="C462" s="9" t="s">
        <v>35</v>
      </c>
      <c r="D462" s="10">
        <f t="shared" si="76"/>
        <v>448.82757486428903</v>
      </c>
      <c r="E462" s="10">
        <f t="shared" si="77"/>
        <v>36.18578501027557</v>
      </c>
      <c r="F462" s="10">
        <f t="shared" si="78"/>
        <v>412.64178985401344</v>
      </c>
      <c r="G462" s="11">
        <f t="shared" si="79"/>
        <v>57484.6142265869</v>
      </c>
      <c r="I462" s="92">
        <f t="shared" si="73"/>
        <v>81</v>
      </c>
      <c r="L462" s="9">
        <v>81</v>
      </c>
      <c r="M462" s="9" t="s">
        <v>35</v>
      </c>
      <c r="N462" s="10">
        <f t="shared" si="80"/>
        <v>1658.265041416751</v>
      </c>
      <c r="O462" s="10">
        <f t="shared" si="81"/>
        <v>526.239042153544</v>
      </c>
      <c r="P462" s="10">
        <f t="shared" si="82"/>
        <v>1132.025999263207</v>
      </c>
      <c r="Q462" s="11">
        <f t="shared" si="83"/>
        <v>251462.7142344379</v>
      </c>
      <c r="R462" s="9"/>
      <c r="S462" s="92">
        <f t="shared" si="74"/>
        <v>81</v>
      </c>
      <c r="V462" s="104">
        <f t="shared" si="75"/>
        <v>2107.09261628104</v>
      </c>
    </row>
    <row r="463" spans="2:22" ht="12.75">
      <c r="B463" s="9">
        <v>82</v>
      </c>
      <c r="C463" s="9" t="s">
        <v>36</v>
      </c>
      <c r="D463" s="10">
        <f t="shared" si="76"/>
        <v>448.82757486428903</v>
      </c>
      <c r="E463" s="10">
        <f t="shared" si="77"/>
        <v>35.92788389161681</v>
      </c>
      <c r="F463" s="10">
        <f t="shared" si="78"/>
        <v>412.8996909726722</v>
      </c>
      <c r="G463" s="11">
        <f t="shared" si="79"/>
        <v>57071.71453561423</v>
      </c>
      <c r="I463" s="92">
        <f t="shared" si="73"/>
        <v>82</v>
      </c>
      <c r="L463" s="9">
        <v>82</v>
      </c>
      <c r="M463" s="9" t="s">
        <v>36</v>
      </c>
      <c r="N463" s="10">
        <f t="shared" si="80"/>
        <v>1658.265041416751</v>
      </c>
      <c r="O463" s="10">
        <f t="shared" si="81"/>
        <v>523.880654655079</v>
      </c>
      <c r="P463" s="10">
        <f t="shared" si="82"/>
        <v>1134.384386761672</v>
      </c>
      <c r="Q463" s="11">
        <f t="shared" si="83"/>
        <v>250328.32984767624</v>
      </c>
      <c r="R463" s="9"/>
      <c r="S463" s="92">
        <f t="shared" si="74"/>
        <v>82</v>
      </c>
      <c r="V463" s="104">
        <f t="shared" si="75"/>
        <v>2107.09261628104</v>
      </c>
    </row>
    <row r="464" spans="2:22" ht="12.75">
      <c r="B464" s="9">
        <v>83</v>
      </c>
      <c r="C464" s="9" t="s">
        <v>37</v>
      </c>
      <c r="D464" s="10">
        <f t="shared" si="76"/>
        <v>448.82757486428903</v>
      </c>
      <c r="E464" s="10">
        <f t="shared" si="77"/>
        <v>35.66982158475889</v>
      </c>
      <c r="F464" s="10">
        <f t="shared" si="78"/>
        <v>413.15775327953014</v>
      </c>
      <c r="G464" s="11">
        <f t="shared" si="79"/>
        <v>56658.5567823347</v>
      </c>
      <c r="I464" s="92">
        <f t="shared" si="73"/>
        <v>83</v>
      </c>
      <c r="L464" s="9">
        <v>83</v>
      </c>
      <c r="M464" s="9" t="s">
        <v>37</v>
      </c>
      <c r="N464" s="10">
        <f t="shared" si="80"/>
        <v>1658.265041416751</v>
      </c>
      <c r="O464" s="10">
        <f t="shared" si="81"/>
        <v>521.5173538493256</v>
      </c>
      <c r="P464" s="10">
        <f t="shared" si="82"/>
        <v>1136.7476875674256</v>
      </c>
      <c r="Q464" s="11">
        <f t="shared" si="83"/>
        <v>249191.5821601088</v>
      </c>
      <c r="R464" s="9"/>
      <c r="S464" s="92">
        <f t="shared" si="74"/>
        <v>83</v>
      </c>
      <c r="V464" s="104">
        <f t="shared" si="75"/>
        <v>2107.09261628104</v>
      </c>
    </row>
    <row r="465" spans="2:22" ht="12.75">
      <c r="B465" s="9">
        <v>84</v>
      </c>
      <c r="C465" s="9" t="s">
        <v>38</v>
      </c>
      <c r="D465" s="10">
        <f t="shared" si="76"/>
        <v>448.82757486428903</v>
      </c>
      <c r="E465" s="10">
        <f t="shared" si="77"/>
        <v>35.41159798895919</v>
      </c>
      <c r="F465" s="10">
        <f t="shared" si="78"/>
        <v>413.4159768753299</v>
      </c>
      <c r="G465" s="11">
        <f t="shared" si="79"/>
        <v>56245.14080545937</v>
      </c>
      <c r="I465" s="92">
        <f t="shared" si="73"/>
        <v>84</v>
      </c>
      <c r="L465" s="9">
        <v>84</v>
      </c>
      <c r="M465" s="9" t="s">
        <v>38</v>
      </c>
      <c r="N465" s="10">
        <f t="shared" si="80"/>
        <v>1658.265041416751</v>
      </c>
      <c r="O465" s="10">
        <f t="shared" si="81"/>
        <v>519.1491295002266</v>
      </c>
      <c r="P465" s="10">
        <f t="shared" si="82"/>
        <v>1139.1159119165245</v>
      </c>
      <c r="Q465" s="11">
        <f t="shared" si="83"/>
        <v>248052.46624819227</v>
      </c>
      <c r="R465" s="9"/>
      <c r="S465" s="92">
        <f t="shared" si="74"/>
        <v>84</v>
      </c>
      <c r="V465" s="104">
        <f t="shared" si="75"/>
        <v>2819.154181797977</v>
      </c>
    </row>
    <row r="466" spans="2:23" ht="12.75">
      <c r="B466" s="84">
        <v>85</v>
      </c>
      <c r="C466" s="84" t="s">
        <v>27</v>
      </c>
      <c r="D466" s="85">
        <f t="shared" si="76"/>
        <v>448.82757486428903</v>
      </c>
      <c r="E466" s="85">
        <f t="shared" si="77"/>
        <v>35.153213003412105</v>
      </c>
      <c r="F466" s="85">
        <f t="shared" si="78"/>
        <v>413.67436186087696</v>
      </c>
      <c r="G466" s="86">
        <f t="shared" si="79"/>
        <v>55831.466443598496</v>
      </c>
      <c r="I466" s="92">
        <f t="shared" si="73"/>
        <v>85</v>
      </c>
      <c r="J466" s="128">
        <f>(SUM(D454:D465)+J454)</f>
        <v>37701.51628860028</v>
      </c>
      <c r="K466">
        <v>7</v>
      </c>
      <c r="L466" s="84">
        <v>85</v>
      </c>
      <c r="M466" s="84" t="s">
        <v>27</v>
      </c>
      <c r="N466" s="85">
        <f t="shared" si="80"/>
        <v>1658.265041416751</v>
      </c>
      <c r="O466" s="85">
        <f t="shared" si="81"/>
        <v>516.7759713504006</v>
      </c>
      <c r="P466" s="85">
        <f t="shared" si="82"/>
        <v>1141.4890700663505</v>
      </c>
      <c r="Q466" s="86">
        <f t="shared" si="83"/>
        <v>246198.915612609</v>
      </c>
      <c r="R466" s="68">
        <f>IF((Q465-P466)&gt;Energie!S15,Energie!S15,(Q465-P466))</f>
        <v>712.0615655169369</v>
      </c>
      <c r="S466" s="92">
        <f t="shared" si="74"/>
        <v>85</v>
      </c>
      <c r="T466" s="128"/>
      <c r="U466" s="128">
        <f>(SUM(N454:N465)+R466+U454)</f>
        <v>143576.35825815832</v>
      </c>
      <c r="V466" s="104">
        <f t="shared" si="75"/>
        <v>2107.09261628104</v>
      </c>
      <c r="W466" s="104">
        <f>SUM(V454:V465)</f>
        <v>25997.172960889413</v>
      </c>
    </row>
    <row r="467" spans="2:22" ht="12.75">
      <c r="B467" s="9">
        <v>86</v>
      </c>
      <c r="C467" s="9" t="s">
        <v>28</v>
      </c>
      <c r="D467" s="10">
        <f t="shared" si="76"/>
        <v>448.82757486428903</v>
      </c>
      <c r="E467" s="10">
        <f t="shared" si="77"/>
        <v>34.89466652724906</v>
      </c>
      <c r="F467" s="10">
        <f t="shared" si="78"/>
        <v>413.93290833704</v>
      </c>
      <c r="G467" s="11">
        <f t="shared" si="79"/>
        <v>55417.53353526146</v>
      </c>
      <c r="I467" s="92">
        <f t="shared" si="73"/>
        <v>86</v>
      </c>
      <c r="L467" s="9">
        <v>86</v>
      </c>
      <c r="M467" s="9" t="s">
        <v>28</v>
      </c>
      <c r="N467" s="10">
        <f t="shared" si="80"/>
        <v>1658.265041416751</v>
      </c>
      <c r="O467" s="10">
        <f t="shared" si="81"/>
        <v>512.9144075262687</v>
      </c>
      <c r="P467" s="10">
        <f t="shared" si="82"/>
        <v>1145.3506338904822</v>
      </c>
      <c r="Q467" s="11">
        <f t="shared" si="83"/>
        <v>245053.56497871852</v>
      </c>
      <c r="R467" s="9"/>
      <c r="S467" s="92">
        <f t="shared" si="74"/>
        <v>86</v>
      </c>
      <c r="V467" s="104">
        <f t="shared" si="75"/>
        <v>2107.09261628104</v>
      </c>
    </row>
    <row r="468" spans="2:22" ht="12.75">
      <c r="B468" s="9">
        <v>87</v>
      </c>
      <c r="C468" s="9" t="s">
        <v>29</v>
      </c>
      <c r="D468" s="10">
        <f t="shared" si="76"/>
        <v>448.82757486428903</v>
      </c>
      <c r="E468" s="10">
        <f t="shared" si="77"/>
        <v>34.63595845953841</v>
      </c>
      <c r="F468" s="10">
        <f t="shared" si="78"/>
        <v>414.1916164047506</v>
      </c>
      <c r="G468" s="11">
        <f t="shared" si="79"/>
        <v>55003.341918856706</v>
      </c>
      <c r="I468" s="92">
        <f t="shared" si="73"/>
        <v>87</v>
      </c>
      <c r="L468" s="9">
        <v>87</v>
      </c>
      <c r="M468" s="9" t="s">
        <v>29</v>
      </c>
      <c r="N468" s="10">
        <f t="shared" si="80"/>
        <v>1658.265041416751</v>
      </c>
      <c r="O468" s="10">
        <f t="shared" si="81"/>
        <v>510.5282603723303</v>
      </c>
      <c r="P468" s="10">
        <f t="shared" si="82"/>
        <v>1147.7367810444207</v>
      </c>
      <c r="Q468" s="11">
        <f t="shared" si="83"/>
        <v>243905.8281976741</v>
      </c>
      <c r="R468" s="9"/>
      <c r="S468" s="92">
        <f t="shared" si="74"/>
        <v>87</v>
      </c>
      <c r="V468" s="104">
        <f t="shared" si="75"/>
        <v>2107.09261628104</v>
      </c>
    </row>
    <row r="469" spans="2:22" ht="12.75">
      <c r="B469" s="9">
        <v>88</v>
      </c>
      <c r="C469" s="9" t="s">
        <v>30</v>
      </c>
      <c r="D469" s="10">
        <f t="shared" si="76"/>
        <v>448.82757486428903</v>
      </c>
      <c r="E469" s="10">
        <f t="shared" si="77"/>
        <v>34.377088699285444</v>
      </c>
      <c r="F469" s="10">
        <f t="shared" si="78"/>
        <v>414.4504861650036</v>
      </c>
      <c r="G469" s="11">
        <f t="shared" si="79"/>
        <v>54588.8914326917</v>
      </c>
      <c r="I469" s="92">
        <f t="shared" si="73"/>
        <v>88</v>
      </c>
      <c r="L469" s="9">
        <v>88</v>
      </c>
      <c r="M469" s="9" t="s">
        <v>30</v>
      </c>
      <c r="N469" s="10">
        <f t="shared" si="80"/>
        <v>1658.265041416751</v>
      </c>
      <c r="O469" s="10">
        <f t="shared" si="81"/>
        <v>508.13714207848767</v>
      </c>
      <c r="P469" s="10">
        <f t="shared" si="82"/>
        <v>1150.1278993382634</v>
      </c>
      <c r="Q469" s="11">
        <f t="shared" si="83"/>
        <v>242755.70029833584</v>
      </c>
      <c r="R469" s="9"/>
      <c r="S469" s="92">
        <f t="shared" si="74"/>
        <v>88</v>
      </c>
      <c r="V469" s="104">
        <f t="shared" si="75"/>
        <v>2107.09261628104</v>
      </c>
    </row>
    <row r="470" spans="2:22" ht="12.75">
      <c r="B470" s="9">
        <v>89</v>
      </c>
      <c r="C470" s="9" t="s">
        <v>31</v>
      </c>
      <c r="D470" s="10">
        <f t="shared" si="76"/>
        <v>448.82757486428903</v>
      </c>
      <c r="E470" s="10">
        <f t="shared" si="77"/>
        <v>34.11805714543231</v>
      </c>
      <c r="F470" s="10">
        <f t="shared" si="78"/>
        <v>414.7095177188567</v>
      </c>
      <c r="G470" s="11">
        <f t="shared" si="79"/>
        <v>54174.18191497284</v>
      </c>
      <c r="I470" s="92">
        <f t="shared" si="73"/>
        <v>89</v>
      </c>
      <c r="L470" s="9">
        <v>89</v>
      </c>
      <c r="M470" s="9" t="s">
        <v>31</v>
      </c>
      <c r="N470" s="10">
        <f t="shared" si="80"/>
        <v>1658.265041416751</v>
      </c>
      <c r="O470" s="10">
        <f t="shared" si="81"/>
        <v>505.74104228819965</v>
      </c>
      <c r="P470" s="10">
        <f t="shared" si="82"/>
        <v>1152.5239991285514</v>
      </c>
      <c r="Q470" s="11">
        <f t="shared" si="83"/>
        <v>241603.1762992073</v>
      </c>
      <c r="R470" s="9"/>
      <c r="S470" s="92">
        <f t="shared" si="74"/>
        <v>89</v>
      </c>
      <c r="V470" s="104">
        <f t="shared" si="75"/>
        <v>2107.09261628104</v>
      </c>
    </row>
    <row r="471" spans="2:22" ht="12.75">
      <c r="B471" s="9">
        <v>90</v>
      </c>
      <c r="C471" s="9" t="s">
        <v>32</v>
      </c>
      <c r="D471" s="10">
        <f t="shared" si="76"/>
        <v>448.82757486428903</v>
      </c>
      <c r="E471" s="10">
        <f t="shared" si="77"/>
        <v>33.85886369685802</v>
      </c>
      <c r="F471" s="10">
        <f t="shared" si="78"/>
        <v>414.968711167431</v>
      </c>
      <c r="G471" s="11">
        <f t="shared" si="79"/>
        <v>53759.21320380541</v>
      </c>
      <c r="I471" s="92">
        <f t="shared" si="73"/>
        <v>90</v>
      </c>
      <c r="L471" s="9">
        <v>90</v>
      </c>
      <c r="M471" s="9" t="s">
        <v>32</v>
      </c>
      <c r="N471" s="10">
        <f t="shared" si="80"/>
        <v>1658.265041416751</v>
      </c>
      <c r="O471" s="10">
        <f t="shared" si="81"/>
        <v>503.33995062334844</v>
      </c>
      <c r="P471" s="10">
        <f t="shared" si="82"/>
        <v>1154.9250907934027</v>
      </c>
      <c r="Q471" s="11">
        <f t="shared" si="83"/>
        <v>240448.2512084139</v>
      </c>
      <c r="R471" s="9"/>
      <c r="S471" s="92">
        <f t="shared" si="74"/>
        <v>90</v>
      </c>
      <c r="V471" s="104">
        <f t="shared" si="75"/>
        <v>2107.09261628104</v>
      </c>
    </row>
    <row r="472" spans="2:22" ht="12.75">
      <c r="B472" s="9">
        <v>91</v>
      </c>
      <c r="C472" s="9" t="s">
        <v>33</v>
      </c>
      <c r="D472" s="10">
        <f t="shared" si="76"/>
        <v>448.82757486428903</v>
      </c>
      <c r="E472" s="10">
        <f t="shared" si="77"/>
        <v>33.599508252378385</v>
      </c>
      <c r="F472" s="10">
        <f t="shared" si="78"/>
        <v>415.22806661191066</v>
      </c>
      <c r="G472" s="11">
        <f t="shared" si="79"/>
        <v>53343.9851371935</v>
      </c>
      <c r="I472" s="92">
        <f t="shared" si="73"/>
        <v>91</v>
      </c>
      <c r="L472" s="9">
        <v>91</v>
      </c>
      <c r="M472" s="9" t="s">
        <v>33</v>
      </c>
      <c r="N472" s="10">
        <f t="shared" si="80"/>
        <v>1658.265041416751</v>
      </c>
      <c r="O472" s="10">
        <f t="shared" si="81"/>
        <v>500.9338566841955</v>
      </c>
      <c r="P472" s="10">
        <f t="shared" si="82"/>
        <v>1157.3311847325556</v>
      </c>
      <c r="Q472" s="11">
        <f t="shared" si="83"/>
        <v>239290.92002368133</v>
      </c>
      <c r="R472" s="9"/>
      <c r="S472" s="92">
        <f t="shared" si="74"/>
        <v>91</v>
      </c>
      <c r="V472" s="104">
        <f t="shared" si="75"/>
        <v>2107.09261628104</v>
      </c>
    </row>
    <row r="473" spans="2:22" ht="12.75">
      <c r="B473" s="9">
        <v>92</v>
      </c>
      <c r="C473" s="9" t="s">
        <v>34</v>
      </c>
      <c r="D473" s="10">
        <f t="shared" si="76"/>
        <v>448.82757486428903</v>
      </c>
      <c r="E473" s="10">
        <f t="shared" si="77"/>
        <v>33.33999071074594</v>
      </c>
      <c r="F473" s="10">
        <f t="shared" si="78"/>
        <v>415.4875841535431</v>
      </c>
      <c r="G473" s="11">
        <f t="shared" si="79"/>
        <v>52928.49755303996</v>
      </c>
      <c r="I473" s="92">
        <f t="shared" si="73"/>
        <v>92</v>
      </c>
      <c r="L473" s="9">
        <v>92</v>
      </c>
      <c r="M473" s="9" t="s">
        <v>34</v>
      </c>
      <c r="N473" s="10">
        <f t="shared" si="80"/>
        <v>1658.265041416751</v>
      </c>
      <c r="O473" s="10">
        <f t="shared" si="81"/>
        <v>498.5227500493361</v>
      </c>
      <c r="P473" s="10">
        <f t="shared" si="82"/>
        <v>1159.742291367415</v>
      </c>
      <c r="Q473" s="11">
        <f t="shared" si="83"/>
        <v>238131.17773231392</v>
      </c>
      <c r="R473" s="9"/>
      <c r="S473" s="92">
        <f t="shared" si="74"/>
        <v>92</v>
      </c>
      <c r="V473" s="104">
        <f t="shared" si="75"/>
        <v>2107.09261628104</v>
      </c>
    </row>
    <row r="474" spans="2:22" ht="12.75">
      <c r="B474" s="9">
        <v>93</v>
      </c>
      <c r="C474" s="9" t="s">
        <v>35</v>
      </c>
      <c r="D474" s="10">
        <f t="shared" si="76"/>
        <v>448.82757486428903</v>
      </c>
      <c r="E474" s="10">
        <f t="shared" si="77"/>
        <v>33.080310970649975</v>
      </c>
      <c r="F474" s="10">
        <f t="shared" si="78"/>
        <v>415.74726389363906</v>
      </c>
      <c r="G474" s="11">
        <f t="shared" si="79"/>
        <v>52512.75028914632</v>
      </c>
      <c r="I474" s="92">
        <f t="shared" si="73"/>
        <v>93</v>
      </c>
      <c r="L474" s="9">
        <v>93</v>
      </c>
      <c r="M474" s="9" t="s">
        <v>35</v>
      </c>
      <c r="N474" s="10">
        <f t="shared" si="80"/>
        <v>1658.265041416751</v>
      </c>
      <c r="O474" s="10">
        <f t="shared" si="81"/>
        <v>496.106620275654</v>
      </c>
      <c r="P474" s="10">
        <f t="shared" si="82"/>
        <v>1162.158421141097</v>
      </c>
      <c r="Q474" s="11">
        <f t="shared" si="83"/>
        <v>236969.01931117283</v>
      </c>
      <c r="R474" s="9"/>
      <c r="S474" s="92">
        <f t="shared" si="74"/>
        <v>93</v>
      </c>
      <c r="V474" s="104">
        <f t="shared" si="75"/>
        <v>2107.09261628104</v>
      </c>
    </row>
    <row r="475" spans="2:22" ht="12.75">
      <c r="B475" s="9">
        <v>94</v>
      </c>
      <c r="C475" s="9" t="s">
        <v>36</v>
      </c>
      <c r="D475" s="10">
        <f t="shared" si="76"/>
        <v>448.82757486428903</v>
      </c>
      <c r="E475" s="10">
        <f t="shared" si="77"/>
        <v>32.82046893071645</v>
      </c>
      <c r="F475" s="10">
        <f t="shared" si="78"/>
        <v>416.0071059335726</v>
      </c>
      <c r="G475" s="11">
        <f t="shared" si="79"/>
        <v>52096.74318321275</v>
      </c>
      <c r="I475" s="92">
        <f t="shared" si="73"/>
        <v>94</v>
      </c>
      <c r="L475" s="9">
        <v>94</v>
      </c>
      <c r="M475" s="9" t="s">
        <v>36</v>
      </c>
      <c r="N475" s="10">
        <f t="shared" si="80"/>
        <v>1658.265041416751</v>
      </c>
      <c r="O475" s="10">
        <f t="shared" si="81"/>
        <v>493.6854568982767</v>
      </c>
      <c r="P475" s="10">
        <f t="shared" si="82"/>
        <v>1164.5795845184743</v>
      </c>
      <c r="Q475" s="11">
        <f t="shared" si="83"/>
        <v>235804.43972665435</v>
      </c>
      <c r="R475" s="9"/>
      <c r="S475" s="92">
        <f t="shared" si="74"/>
        <v>94</v>
      </c>
      <c r="V475" s="104">
        <f t="shared" si="75"/>
        <v>2107.09261628104</v>
      </c>
    </row>
    <row r="476" spans="2:22" ht="12.75">
      <c r="B476" s="9">
        <v>95</v>
      </c>
      <c r="C476" s="9" t="s">
        <v>37</v>
      </c>
      <c r="D476" s="10">
        <f t="shared" si="76"/>
        <v>448.82757486428903</v>
      </c>
      <c r="E476" s="10">
        <f t="shared" si="77"/>
        <v>32.560464489507964</v>
      </c>
      <c r="F476" s="10">
        <f t="shared" si="78"/>
        <v>416.26711037478105</v>
      </c>
      <c r="G476" s="11">
        <f t="shared" si="79"/>
        <v>51680.47607283797</v>
      </c>
      <c r="I476" s="92">
        <f t="shared" si="73"/>
        <v>95</v>
      </c>
      <c r="L476" s="9">
        <v>95</v>
      </c>
      <c r="M476" s="9" t="s">
        <v>37</v>
      </c>
      <c r="N476" s="10">
        <f t="shared" si="80"/>
        <v>1658.265041416751</v>
      </c>
      <c r="O476" s="10">
        <f t="shared" si="81"/>
        <v>491.2592494305299</v>
      </c>
      <c r="P476" s="10">
        <f t="shared" si="82"/>
        <v>1167.005791986221</v>
      </c>
      <c r="Q476" s="11">
        <f t="shared" si="83"/>
        <v>234637.43393466814</v>
      </c>
      <c r="R476" s="9"/>
      <c r="S476" s="92">
        <f t="shared" si="74"/>
        <v>95</v>
      </c>
      <c r="V476" s="104">
        <f t="shared" si="75"/>
        <v>2107.09261628104</v>
      </c>
    </row>
    <row r="477" spans="2:22" ht="12.75">
      <c r="B477" s="9">
        <v>96</v>
      </c>
      <c r="C477" s="9" t="s">
        <v>38</v>
      </c>
      <c r="D477" s="10">
        <f t="shared" si="76"/>
        <v>448.82757486428903</v>
      </c>
      <c r="E477" s="10">
        <f t="shared" si="77"/>
        <v>32.30029754552373</v>
      </c>
      <c r="F477" s="10">
        <f t="shared" si="78"/>
        <v>416.5272773187653</v>
      </c>
      <c r="G477" s="11">
        <f t="shared" si="79"/>
        <v>51263.9487955192</v>
      </c>
      <c r="I477" s="92">
        <f t="shared" si="73"/>
        <v>96</v>
      </c>
      <c r="L477" s="9">
        <v>96</v>
      </c>
      <c r="M477" s="9" t="s">
        <v>38</v>
      </c>
      <c r="N477" s="10">
        <f t="shared" si="80"/>
        <v>1658.265041416751</v>
      </c>
      <c r="O477" s="10">
        <f t="shared" si="81"/>
        <v>488.8279873638919</v>
      </c>
      <c r="P477" s="10">
        <f t="shared" si="82"/>
        <v>1169.4370540528591</v>
      </c>
      <c r="Q477" s="11">
        <f t="shared" si="83"/>
        <v>233467.99688061528</v>
      </c>
      <c r="R477" s="9"/>
      <c r="S477" s="92">
        <f t="shared" si="74"/>
        <v>96</v>
      </c>
      <c r="V477" s="104">
        <f t="shared" si="75"/>
        <v>2857.244843499293</v>
      </c>
    </row>
    <row r="478" spans="2:23" ht="12.75">
      <c r="B478" s="84">
        <v>97</v>
      </c>
      <c r="C478" s="84" t="s">
        <v>27</v>
      </c>
      <c r="D478" s="85">
        <f t="shared" si="76"/>
        <v>448.82757486428903</v>
      </c>
      <c r="E478" s="85">
        <f t="shared" si="77"/>
        <v>32.039967997199504</v>
      </c>
      <c r="F478" s="85">
        <f t="shared" si="78"/>
        <v>416.78760686708955</v>
      </c>
      <c r="G478" s="86">
        <f t="shared" si="79"/>
        <v>50847.16118865211</v>
      </c>
      <c r="I478" s="92">
        <f t="shared" si="73"/>
        <v>97</v>
      </c>
      <c r="J478" s="128">
        <f>(SUM(D466:D477)+J466)</f>
        <v>43087.447186971745</v>
      </c>
      <c r="K478">
        <v>8</v>
      </c>
      <c r="L478" s="84">
        <v>97</v>
      </c>
      <c r="M478" s="84" t="s">
        <v>27</v>
      </c>
      <c r="N478" s="85">
        <f t="shared" si="80"/>
        <v>1658.265041416751</v>
      </c>
      <c r="O478" s="85">
        <f t="shared" si="81"/>
        <v>486.3916601679485</v>
      </c>
      <c r="P478" s="85">
        <f t="shared" si="82"/>
        <v>1171.8733812488026</v>
      </c>
      <c r="Q478" s="86">
        <f t="shared" si="83"/>
        <v>231545.97127214822</v>
      </c>
      <c r="R478" s="68">
        <f>IF((Q477-P478)&gt;Energie!S16,Energie!S16,(Q477-P478))</f>
        <v>750.1522272182531</v>
      </c>
      <c r="S478" s="92">
        <f t="shared" si="74"/>
        <v>97</v>
      </c>
      <c r="T478" s="128"/>
      <c r="U478" s="128">
        <f>(SUM(N466:N477)+R478+U466)</f>
        <v>164225.6909823776</v>
      </c>
      <c r="V478" s="104">
        <f t="shared" si="75"/>
        <v>2107.09261628104</v>
      </c>
      <c r="W478" s="104">
        <f>SUM(V466:V477)</f>
        <v>26035.263622590726</v>
      </c>
    </row>
    <row r="479" spans="2:22" ht="12.75">
      <c r="B479" s="9">
        <v>98</v>
      </c>
      <c r="C479" s="9" t="s">
        <v>28</v>
      </c>
      <c r="D479" s="10">
        <f t="shared" si="76"/>
        <v>448.82757486428903</v>
      </c>
      <c r="E479" s="10">
        <f t="shared" si="77"/>
        <v>31.779475742907568</v>
      </c>
      <c r="F479" s="10">
        <f t="shared" si="78"/>
        <v>417.0480991213815</v>
      </c>
      <c r="G479" s="11">
        <f t="shared" si="79"/>
        <v>50430.11308953073</v>
      </c>
      <c r="I479" s="92">
        <f t="shared" si="73"/>
        <v>98</v>
      </c>
      <c r="J479" s="128"/>
      <c r="L479" s="9">
        <v>98</v>
      </c>
      <c r="M479" s="9" t="s">
        <v>28</v>
      </c>
      <c r="N479" s="10">
        <f t="shared" si="80"/>
        <v>1658.265041416751</v>
      </c>
      <c r="O479" s="10">
        <f t="shared" si="81"/>
        <v>482.38744015030875</v>
      </c>
      <c r="P479" s="10">
        <f t="shared" si="82"/>
        <v>1175.8776012664423</v>
      </c>
      <c r="Q479" s="11">
        <f t="shared" si="83"/>
        <v>230370.0936708818</v>
      </c>
      <c r="R479" s="9"/>
      <c r="S479" s="92">
        <f t="shared" si="74"/>
        <v>98</v>
      </c>
      <c r="V479" s="104">
        <f t="shared" si="75"/>
        <v>2107.09261628104</v>
      </c>
    </row>
    <row r="480" spans="2:22" ht="12.75">
      <c r="B480" s="9">
        <v>99</v>
      </c>
      <c r="C480" s="9" t="s">
        <v>29</v>
      </c>
      <c r="D480" s="10">
        <f t="shared" si="76"/>
        <v>448.82757486428903</v>
      </c>
      <c r="E480" s="10">
        <f t="shared" si="77"/>
        <v>31.518820680956704</v>
      </c>
      <c r="F480" s="10">
        <f t="shared" si="78"/>
        <v>417.3087541833323</v>
      </c>
      <c r="G480" s="11">
        <f t="shared" si="79"/>
        <v>50012.8043353474</v>
      </c>
      <c r="I480" s="92">
        <f t="shared" si="73"/>
        <v>99</v>
      </c>
      <c r="L480" s="9">
        <v>99</v>
      </c>
      <c r="M480" s="9" t="s">
        <v>29</v>
      </c>
      <c r="N480" s="10">
        <f t="shared" si="80"/>
        <v>1658.265041416751</v>
      </c>
      <c r="O480" s="10">
        <f t="shared" si="81"/>
        <v>479.9376951476704</v>
      </c>
      <c r="P480" s="10">
        <f t="shared" si="82"/>
        <v>1178.3273462690806</v>
      </c>
      <c r="Q480" s="11">
        <f t="shared" si="83"/>
        <v>229191.76632461272</v>
      </c>
      <c r="R480" s="9"/>
      <c r="S480" s="92">
        <f t="shared" si="74"/>
        <v>99</v>
      </c>
      <c r="V480" s="104">
        <f t="shared" si="75"/>
        <v>2107.09261628104</v>
      </c>
    </row>
    <row r="481" spans="2:22" ht="12.75">
      <c r="B481" s="9">
        <v>100</v>
      </c>
      <c r="C481" s="9" t="s">
        <v>30</v>
      </c>
      <c r="D481" s="10">
        <f t="shared" si="76"/>
        <v>448.82757486428903</v>
      </c>
      <c r="E481" s="10">
        <f t="shared" si="77"/>
        <v>31.258002709592123</v>
      </c>
      <c r="F481" s="10">
        <f t="shared" si="78"/>
        <v>417.5695721546969</v>
      </c>
      <c r="G481" s="11">
        <f t="shared" si="79"/>
        <v>49595.234763192704</v>
      </c>
      <c r="I481" s="92">
        <f t="shared" si="73"/>
        <v>100</v>
      </c>
      <c r="L481" s="9">
        <v>100</v>
      </c>
      <c r="M481" s="9" t="s">
        <v>30</v>
      </c>
      <c r="N481" s="10">
        <f t="shared" si="80"/>
        <v>1658.265041416751</v>
      </c>
      <c r="O481" s="10">
        <f t="shared" si="81"/>
        <v>477.48284650960983</v>
      </c>
      <c r="P481" s="10">
        <f t="shared" si="82"/>
        <v>1180.7821949071413</v>
      </c>
      <c r="Q481" s="11">
        <f t="shared" si="83"/>
        <v>228010.98412970558</v>
      </c>
      <c r="R481" s="9"/>
      <c r="S481" s="92">
        <f t="shared" si="74"/>
        <v>100</v>
      </c>
      <c r="V481" s="104">
        <f t="shared" si="75"/>
        <v>2107.09261628104</v>
      </c>
    </row>
    <row r="482" spans="2:22" ht="12.75">
      <c r="B482" s="9">
        <v>101</v>
      </c>
      <c r="C482" s="9" t="s">
        <v>31</v>
      </c>
      <c r="D482" s="10">
        <f t="shared" si="76"/>
        <v>448.82757486428903</v>
      </c>
      <c r="E482" s="10">
        <f t="shared" si="77"/>
        <v>30.997021726995442</v>
      </c>
      <c r="F482" s="10">
        <f t="shared" si="78"/>
        <v>417.8305531372936</v>
      </c>
      <c r="G482" s="11">
        <f t="shared" si="79"/>
        <v>49177.40421005541</v>
      </c>
      <c r="I482" s="92">
        <f t="shared" si="73"/>
        <v>101</v>
      </c>
      <c r="L482" s="9">
        <v>101</v>
      </c>
      <c r="M482" s="9" t="s">
        <v>31</v>
      </c>
      <c r="N482" s="10">
        <f t="shared" si="80"/>
        <v>1658.265041416751</v>
      </c>
      <c r="O482" s="10">
        <f t="shared" si="81"/>
        <v>475.02288360355334</v>
      </c>
      <c r="P482" s="10">
        <f t="shared" si="82"/>
        <v>1183.2421578131978</v>
      </c>
      <c r="Q482" s="11">
        <f t="shared" si="83"/>
        <v>226827.7419718924</v>
      </c>
      <c r="R482" s="9"/>
      <c r="S482" s="92">
        <f t="shared" si="74"/>
        <v>101</v>
      </c>
      <c r="V482" s="104">
        <f t="shared" si="75"/>
        <v>2107.09261628104</v>
      </c>
    </row>
    <row r="483" spans="2:22" ht="12.75">
      <c r="B483" s="9">
        <v>102</v>
      </c>
      <c r="C483" s="9" t="s">
        <v>32</v>
      </c>
      <c r="D483" s="10">
        <f t="shared" si="76"/>
        <v>448.82757486428903</v>
      </c>
      <c r="E483" s="10">
        <f t="shared" si="77"/>
        <v>30.735877631284627</v>
      </c>
      <c r="F483" s="10">
        <f t="shared" si="78"/>
        <v>418.0916972330044</v>
      </c>
      <c r="G483" s="11">
        <f t="shared" si="79"/>
        <v>48759.312512822406</v>
      </c>
      <c r="I483" s="92">
        <f t="shared" si="73"/>
        <v>102</v>
      </c>
      <c r="L483" s="9">
        <v>102</v>
      </c>
      <c r="M483" s="9" t="s">
        <v>32</v>
      </c>
      <c r="N483" s="10">
        <f t="shared" si="80"/>
        <v>1658.265041416751</v>
      </c>
      <c r="O483" s="10">
        <f t="shared" si="81"/>
        <v>472.5577957747758</v>
      </c>
      <c r="P483" s="10">
        <f t="shared" si="82"/>
        <v>1185.7072456419753</v>
      </c>
      <c r="Q483" s="11">
        <f t="shared" si="83"/>
        <v>225642.03472625042</v>
      </c>
      <c r="R483" s="9"/>
      <c r="S483" s="92">
        <f t="shared" si="74"/>
        <v>102</v>
      </c>
      <c r="V483" s="104">
        <f t="shared" si="75"/>
        <v>2107.09261628104</v>
      </c>
    </row>
    <row r="484" spans="2:22" ht="12.75">
      <c r="B484" s="9">
        <v>103</v>
      </c>
      <c r="C484" s="9" t="s">
        <v>33</v>
      </c>
      <c r="D484" s="10">
        <f t="shared" si="76"/>
        <v>448.82757486428903</v>
      </c>
      <c r="E484" s="10">
        <f t="shared" si="77"/>
        <v>30.474570320514005</v>
      </c>
      <c r="F484" s="10">
        <f t="shared" si="78"/>
        <v>418.353004543775</v>
      </c>
      <c r="G484" s="11">
        <f t="shared" si="79"/>
        <v>48340.95950827863</v>
      </c>
      <c r="I484" s="92">
        <f t="shared" si="73"/>
        <v>103</v>
      </c>
      <c r="L484" s="9">
        <v>103</v>
      </c>
      <c r="M484" s="9" t="s">
        <v>33</v>
      </c>
      <c r="N484" s="10">
        <f t="shared" si="80"/>
        <v>1658.265041416751</v>
      </c>
      <c r="O484" s="10">
        <f t="shared" si="81"/>
        <v>470.08757234635505</v>
      </c>
      <c r="P484" s="10">
        <f t="shared" si="82"/>
        <v>1188.177469070396</v>
      </c>
      <c r="Q484" s="11">
        <f t="shared" si="83"/>
        <v>224453.85725718003</v>
      </c>
      <c r="R484" s="9"/>
      <c r="S484" s="92">
        <f t="shared" si="74"/>
        <v>103</v>
      </c>
      <c r="V484" s="104">
        <f t="shared" si="75"/>
        <v>2107.09261628104</v>
      </c>
    </row>
    <row r="485" spans="2:22" ht="12.75">
      <c r="B485" s="9">
        <v>104</v>
      </c>
      <c r="C485" s="9" t="s">
        <v>34</v>
      </c>
      <c r="D485" s="10">
        <f t="shared" si="76"/>
        <v>448.82757486428903</v>
      </c>
      <c r="E485" s="10">
        <f t="shared" si="77"/>
        <v>30.213099692674145</v>
      </c>
      <c r="F485" s="10">
        <f t="shared" si="78"/>
        <v>418.6144751716149</v>
      </c>
      <c r="G485" s="11">
        <f t="shared" si="79"/>
        <v>47922.34503310702</v>
      </c>
      <c r="I485" s="92">
        <f t="shared" si="73"/>
        <v>104</v>
      </c>
      <c r="L485" s="9">
        <v>104</v>
      </c>
      <c r="M485" s="9" t="s">
        <v>34</v>
      </c>
      <c r="N485" s="10">
        <f t="shared" si="80"/>
        <v>1658.265041416751</v>
      </c>
      <c r="O485" s="10">
        <f t="shared" si="81"/>
        <v>467.61220261912507</v>
      </c>
      <c r="P485" s="10">
        <f t="shared" si="82"/>
        <v>1190.652838797626</v>
      </c>
      <c r="Q485" s="11">
        <f t="shared" si="83"/>
        <v>223263.2044183824</v>
      </c>
      <c r="R485" s="9"/>
      <c r="S485" s="92">
        <f t="shared" si="74"/>
        <v>104</v>
      </c>
      <c r="V485" s="104">
        <f t="shared" si="75"/>
        <v>2107.09261628104</v>
      </c>
    </row>
    <row r="486" spans="2:22" ht="12.75">
      <c r="B486" s="9">
        <v>105</v>
      </c>
      <c r="C486" s="9" t="s">
        <v>35</v>
      </c>
      <c r="D486" s="10">
        <f t="shared" si="76"/>
        <v>448.82757486428903</v>
      </c>
      <c r="E486" s="10">
        <f t="shared" si="77"/>
        <v>29.951465645691886</v>
      </c>
      <c r="F486" s="10">
        <f t="shared" si="78"/>
        <v>418.87610921859715</v>
      </c>
      <c r="G486" s="11">
        <f t="shared" si="79"/>
        <v>47503.468923888424</v>
      </c>
      <c r="I486" s="92">
        <f t="shared" si="73"/>
        <v>105</v>
      </c>
      <c r="L486" s="9">
        <v>105</v>
      </c>
      <c r="M486" s="9" t="s">
        <v>35</v>
      </c>
      <c r="N486" s="10">
        <f t="shared" si="80"/>
        <v>1658.265041416751</v>
      </c>
      <c r="O486" s="10">
        <f t="shared" si="81"/>
        <v>465.13167587162997</v>
      </c>
      <c r="P486" s="10">
        <f t="shared" si="82"/>
        <v>1193.133365545121</v>
      </c>
      <c r="Q486" s="11">
        <f t="shared" si="83"/>
        <v>222070.07105283727</v>
      </c>
      <c r="R486" s="9"/>
      <c r="S486" s="92">
        <f t="shared" si="74"/>
        <v>105</v>
      </c>
      <c r="V486" s="104">
        <f t="shared" si="75"/>
        <v>2107.09261628104</v>
      </c>
    </row>
    <row r="487" spans="2:22" ht="12.75">
      <c r="B487" s="9">
        <v>106</v>
      </c>
      <c r="C487" s="9" t="s">
        <v>36</v>
      </c>
      <c r="D487" s="10">
        <f t="shared" si="76"/>
        <v>448.82757486428903</v>
      </c>
      <c r="E487" s="10">
        <f t="shared" si="77"/>
        <v>29.689668077430266</v>
      </c>
      <c r="F487" s="10">
        <f t="shared" si="78"/>
        <v>419.13790678685876</v>
      </c>
      <c r="G487" s="11">
        <f t="shared" si="79"/>
        <v>47084.33101710156</v>
      </c>
      <c r="I487" s="92">
        <f t="shared" si="73"/>
        <v>106</v>
      </c>
      <c r="L487" s="9">
        <v>106</v>
      </c>
      <c r="M487" s="9" t="s">
        <v>36</v>
      </c>
      <c r="N487" s="10">
        <f t="shared" si="80"/>
        <v>1658.265041416751</v>
      </c>
      <c r="O487" s="10">
        <f t="shared" si="81"/>
        <v>462.6459813600777</v>
      </c>
      <c r="P487" s="10">
        <f t="shared" si="82"/>
        <v>1195.6190600566733</v>
      </c>
      <c r="Q487" s="11">
        <f t="shared" si="83"/>
        <v>220874.4519927806</v>
      </c>
      <c r="R487" s="9"/>
      <c r="S487" s="92">
        <f t="shared" si="74"/>
        <v>106</v>
      </c>
      <c r="V487" s="104">
        <f t="shared" si="75"/>
        <v>2107.09261628104</v>
      </c>
    </row>
    <row r="488" spans="2:22" ht="12.75">
      <c r="B488" s="9">
        <v>107</v>
      </c>
      <c r="C488" s="9" t="s">
        <v>37</v>
      </c>
      <c r="D488" s="10">
        <f t="shared" si="76"/>
        <v>448.82757486428903</v>
      </c>
      <c r="E488" s="10">
        <f t="shared" si="77"/>
        <v>29.427706885688476</v>
      </c>
      <c r="F488" s="10">
        <f t="shared" si="78"/>
        <v>419.3998679786006</v>
      </c>
      <c r="G488" s="11">
        <f t="shared" si="79"/>
        <v>46664.93114912296</v>
      </c>
      <c r="I488" s="92">
        <f t="shared" si="73"/>
        <v>107</v>
      </c>
      <c r="L488" s="9">
        <v>107</v>
      </c>
      <c r="M488" s="9" t="s">
        <v>37</v>
      </c>
      <c r="N488" s="10">
        <f t="shared" si="80"/>
        <v>1658.265041416751</v>
      </c>
      <c r="O488" s="10">
        <f t="shared" si="81"/>
        <v>460.155108318293</v>
      </c>
      <c r="P488" s="10">
        <f t="shared" si="82"/>
        <v>1198.109933098458</v>
      </c>
      <c r="Q488" s="11">
        <f t="shared" si="83"/>
        <v>219676.34205968215</v>
      </c>
      <c r="R488" s="9"/>
      <c r="S488" s="92">
        <f t="shared" si="74"/>
        <v>107</v>
      </c>
      <c r="V488" s="104">
        <f t="shared" si="75"/>
        <v>2107.09261628104</v>
      </c>
    </row>
    <row r="489" spans="2:22" ht="12.75">
      <c r="B489" s="9">
        <v>108</v>
      </c>
      <c r="C489" s="9" t="s">
        <v>38</v>
      </c>
      <c r="D489" s="10">
        <f t="shared" si="76"/>
        <v>448.82757486428903</v>
      </c>
      <c r="E489" s="10">
        <f t="shared" si="77"/>
        <v>29.16558196820185</v>
      </c>
      <c r="F489" s="10">
        <f t="shared" si="78"/>
        <v>419.6619928960872</v>
      </c>
      <c r="G489" s="11">
        <f t="shared" si="79"/>
        <v>46245.269156226874</v>
      </c>
      <c r="I489" s="92">
        <f t="shared" si="73"/>
        <v>108</v>
      </c>
      <c r="L489" s="9">
        <v>108</v>
      </c>
      <c r="M489" s="9" t="s">
        <v>38</v>
      </c>
      <c r="N489" s="10">
        <f t="shared" si="80"/>
        <v>1658.265041416751</v>
      </c>
      <c r="O489" s="10">
        <f t="shared" si="81"/>
        <v>457.65904595767114</v>
      </c>
      <c r="P489" s="10">
        <f t="shared" si="82"/>
        <v>1200.6059954590798</v>
      </c>
      <c r="Q489" s="11">
        <f t="shared" si="83"/>
        <v>218475.73606422308</v>
      </c>
      <c r="R489" s="9"/>
      <c r="S489" s="92">
        <f t="shared" si="74"/>
        <v>108</v>
      </c>
      <c r="V489" s="104">
        <f t="shared" si="75"/>
        <v>2897.2773520370574</v>
      </c>
    </row>
    <row r="490" spans="2:23" ht="12.75">
      <c r="B490" s="84">
        <v>109</v>
      </c>
      <c r="C490" s="84" t="s">
        <v>27</v>
      </c>
      <c r="D490" s="85">
        <f t="shared" si="76"/>
        <v>448.82757486428903</v>
      </c>
      <c r="E490" s="85">
        <f t="shared" si="77"/>
        <v>28.903293222641796</v>
      </c>
      <c r="F490" s="85">
        <f t="shared" si="78"/>
        <v>419.9242816416472</v>
      </c>
      <c r="G490" s="86">
        <f t="shared" si="79"/>
        <v>45825.34487458523</v>
      </c>
      <c r="I490" s="92">
        <f t="shared" si="73"/>
        <v>109</v>
      </c>
      <c r="J490" s="128">
        <f>(SUM(D478:D489)+J478)</f>
        <v>48473.37808534321</v>
      </c>
      <c r="K490">
        <v>9</v>
      </c>
      <c r="L490" s="84">
        <v>109</v>
      </c>
      <c r="M490" s="84" t="s">
        <v>27</v>
      </c>
      <c r="N490" s="85">
        <f t="shared" si="80"/>
        <v>1658.265041416751</v>
      </c>
      <c r="O490" s="85">
        <f t="shared" si="81"/>
        <v>455.15778346713137</v>
      </c>
      <c r="P490" s="85">
        <f t="shared" si="82"/>
        <v>1203.1072579496197</v>
      </c>
      <c r="Q490" s="86">
        <f t="shared" si="83"/>
        <v>216482.44407051743</v>
      </c>
      <c r="R490" s="68">
        <f>IF((Q489-P490)&gt;Energie!S17,Energie!S17,(Q489-P490))</f>
        <v>790.1847357560174</v>
      </c>
      <c r="S490" s="92">
        <f t="shared" si="74"/>
        <v>109</v>
      </c>
      <c r="T490" s="128"/>
      <c r="U490" s="128">
        <f>(SUM(N478:N489)+R490+U478)</f>
        <v>184915.05621513462</v>
      </c>
      <c r="V490" s="104">
        <f t="shared" si="75"/>
        <v>2107.09261628104</v>
      </c>
      <c r="W490" s="104">
        <f>SUM(V478:V489)</f>
        <v>26075.296131128493</v>
      </c>
    </row>
    <row r="491" spans="2:22" ht="12.75">
      <c r="B491" s="9">
        <v>110</v>
      </c>
      <c r="C491" s="9" t="s">
        <v>28</v>
      </c>
      <c r="D491" s="10">
        <f t="shared" si="76"/>
        <v>448.82757486428903</v>
      </c>
      <c r="E491" s="10">
        <f t="shared" si="77"/>
        <v>28.640840546615767</v>
      </c>
      <c r="F491" s="10">
        <f t="shared" si="78"/>
        <v>420.18673431767326</v>
      </c>
      <c r="G491" s="11">
        <f t="shared" si="79"/>
        <v>45405.15814026756</v>
      </c>
      <c r="I491" s="92">
        <f t="shared" si="73"/>
        <v>110</v>
      </c>
      <c r="L491" s="9">
        <v>110</v>
      </c>
      <c r="M491" s="9" t="s">
        <v>28</v>
      </c>
      <c r="N491" s="10">
        <f t="shared" si="80"/>
        <v>1658.265041416751</v>
      </c>
      <c r="O491" s="10">
        <f t="shared" si="81"/>
        <v>451.005091813578</v>
      </c>
      <c r="P491" s="10">
        <f t="shared" si="82"/>
        <v>1207.259949603173</v>
      </c>
      <c r="Q491" s="11">
        <f t="shared" si="83"/>
        <v>215275.18412091426</v>
      </c>
      <c r="R491" s="9"/>
      <c r="S491" s="92">
        <f t="shared" si="74"/>
        <v>110</v>
      </c>
      <c r="V491" s="104">
        <f t="shared" si="75"/>
        <v>2107.09261628104</v>
      </c>
    </row>
    <row r="492" spans="2:22" ht="12.75">
      <c r="B492" s="9">
        <v>111</v>
      </c>
      <c r="C492" s="9" t="s">
        <v>29</v>
      </c>
      <c r="D492" s="10">
        <f t="shared" si="76"/>
        <v>448.82757486428903</v>
      </c>
      <c r="E492" s="10">
        <f t="shared" si="77"/>
        <v>28.378223837667225</v>
      </c>
      <c r="F492" s="10">
        <f t="shared" si="78"/>
        <v>420.4493510266218</v>
      </c>
      <c r="G492" s="11">
        <f t="shared" si="79"/>
        <v>44984.70878924094</v>
      </c>
      <c r="I492" s="92">
        <f aca="true" t="shared" si="84" ref="I492:I561">IF(E492&gt;0,B492,"")</f>
        <v>111</v>
      </c>
      <c r="L492" s="9">
        <v>111</v>
      </c>
      <c r="M492" s="9" t="s">
        <v>29</v>
      </c>
      <c r="N492" s="10">
        <f t="shared" si="80"/>
        <v>1658.265041416751</v>
      </c>
      <c r="O492" s="10">
        <f t="shared" si="81"/>
        <v>448.4899669185714</v>
      </c>
      <c r="P492" s="10">
        <f t="shared" si="82"/>
        <v>1209.7750744981797</v>
      </c>
      <c r="Q492" s="11">
        <f t="shared" si="83"/>
        <v>214065.40904641608</v>
      </c>
      <c r="R492" s="9"/>
      <c r="S492" s="92">
        <f t="shared" si="74"/>
        <v>111</v>
      </c>
      <c r="V492" s="104">
        <f t="shared" si="75"/>
        <v>2107.09261628104</v>
      </c>
    </row>
    <row r="493" spans="2:22" ht="12.75">
      <c r="B493" s="9">
        <v>112</v>
      </c>
      <c r="C493" s="9" t="s">
        <v>30</v>
      </c>
      <c r="D493" s="10">
        <f t="shared" si="76"/>
        <v>448.82757486428903</v>
      </c>
      <c r="E493" s="10">
        <f t="shared" si="77"/>
        <v>28.115442993275582</v>
      </c>
      <c r="F493" s="10">
        <f t="shared" si="78"/>
        <v>420.71213187101347</v>
      </c>
      <c r="G493" s="11">
        <f t="shared" si="79"/>
        <v>44563.99665736993</v>
      </c>
      <c r="I493" s="92">
        <f t="shared" si="84"/>
        <v>112</v>
      </c>
      <c r="L493" s="9">
        <v>112</v>
      </c>
      <c r="M493" s="9" t="s">
        <v>30</v>
      </c>
      <c r="N493" s="10">
        <f t="shared" si="80"/>
        <v>1658.265041416751</v>
      </c>
      <c r="O493" s="10">
        <f t="shared" si="81"/>
        <v>445.96960218003346</v>
      </c>
      <c r="P493" s="10">
        <f t="shared" si="82"/>
        <v>1212.2954392367176</v>
      </c>
      <c r="Q493" s="11">
        <f t="shared" si="83"/>
        <v>212853.11360717937</v>
      </c>
      <c r="R493" s="9"/>
      <c r="S493" s="92">
        <f t="shared" si="74"/>
        <v>112</v>
      </c>
      <c r="V493" s="104">
        <f t="shared" si="75"/>
        <v>2107.09261628104</v>
      </c>
    </row>
    <row r="494" spans="2:22" ht="12.75">
      <c r="B494" s="9">
        <v>113</v>
      </c>
      <c r="C494" s="9" t="s">
        <v>31</v>
      </c>
      <c r="D494" s="10">
        <f t="shared" si="76"/>
        <v>448.82757486428903</v>
      </c>
      <c r="E494" s="10">
        <f t="shared" si="77"/>
        <v>27.852497910856204</v>
      </c>
      <c r="F494" s="10">
        <f t="shared" si="78"/>
        <v>420.97507695343285</v>
      </c>
      <c r="G494" s="11">
        <f t="shared" si="79"/>
        <v>44143.0215804165</v>
      </c>
      <c r="I494" s="92">
        <f t="shared" si="84"/>
        <v>113</v>
      </c>
      <c r="L494" s="9">
        <v>113</v>
      </c>
      <c r="M494" s="9" t="s">
        <v>31</v>
      </c>
      <c r="N494" s="10">
        <f t="shared" si="80"/>
        <v>1658.265041416751</v>
      </c>
      <c r="O494" s="10">
        <f t="shared" si="81"/>
        <v>443.4439866816237</v>
      </c>
      <c r="P494" s="10">
        <f t="shared" si="82"/>
        <v>1214.8210547351273</v>
      </c>
      <c r="Q494" s="11">
        <f t="shared" si="83"/>
        <v>211638.29255244424</v>
      </c>
      <c r="R494" s="9"/>
      <c r="S494" s="92">
        <f t="shared" si="74"/>
        <v>113</v>
      </c>
      <c r="V494" s="104">
        <f t="shared" si="75"/>
        <v>2107.09261628104</v>
      </c>
    </row>
    <row r="495" spans="2:22" ht="12.75">
      <c r="B495" s="9">
        <v>114</v>
      </c>
      <c r="C495" s="9" t="s">
        <v>32</v>
      </c>
      <c r="D495" s="10">
        <f t="shared" si="76"/>
        <v>448.82757486428903</v>
      </c>
      <c r="E495" s="10">
        <f t="shared" si="77"/>
        <v>27.589388487760306</v>
      </c>
      <c r="F495" s="10">
        <f t="shared" si="78"/>
        <v>421.23818637652874</v>
      </c>
      <c r="G495" s="11">
        <f t="shared" si="79"/>
        <v>43721.78339403997</v>
      </c>
      <c r="I495" s="92">
        <f t="shared" si="84"/>
        <v>114</v>
      </c>
      <c r="L495" s="9">
        <v>114</v>
      </c>
      <c r="M495" s="9" t="s">
        <v>32</v>
      </c>
      <c r="N495" s="10">
        <f t="shared" si="80"/>
        <v>1658.265041416751</v>
      </c>
      <c r="O495" s="10">
        <f t="shared" si="81"/>
        <v>440.91310948425877</v>
      </c>
      <c r="P495" s="10">
        <f t="shared" si="82"/>
        <v>1217.3519319324923</v>
      </c>
      <c r="Q495" s="11">
        <f t="shared" si="83"/>
        <v>210420.94062051174</v>
      </c>
      <c r="R495" s="9"/>
      <c r="S495" s="92">
        <f t="shared" si="74"/>
        <v>114</v>
      </c>
      <c r="V495" s="104">
        <f t="shared" si="75"/>
        <v>2107.09261628104</v>
      </c>
    </row>
    <row r="496" spans="2:22" ht="12.75">
      <c r="B496" s="9">
        <v>115</v>
      </c>
      <c r="C496" s="9" t="s">
        <v>33</v>
      </c>
      <c r="D496" s="10">
        <f t="shared" si="76"/>
        <v>448.82757486428903</v>
      </c>
      <c r="E496" s="10">
        <f t="shared" si="77"/>
        <v>27.326114621274982</v>
      </c>
      <c r="F496" s="10">
        <f t="shared" si="78"/>
        <v>421.50146024301404</v>
      </c>
      <c r="G496" s="11">
        <f t="shared" si="79"/>
        <v>43300.281933796956</v>
      </c>
      <c r="I496" s="92">
        <f t="shared" si="84"/>
        <v>115</v>
      </c>
      <c r="L496" s="9">
        <v>115</v>
      </c>
      <c r="M496" s="9" t="s">
        <v>33</v>
      </c>
      <c r="N496" s="10">
        <f t="shared" si="80"/>
        <v>1658.265041416751</v>
      </c>
      <c r="O496" s="10">
        <f t="shared" si="81"/>
        <v>438.37695962606614</v>
      </c>
      <c r="P496" s="10">
        <f t="shared" si="82"/>
        <v>1219.888081790685</v>
      </c>
      <c r="Q496" s="11">
        <f t="shared" si="83"/>
        <v>209201.05253872107</v>
      </c>
      <c r="R496" s="9"/>
      <c r="S496" s="92">
        <f t="shared" si="74"/>
        <v>115</v>
      </c>
      <c r="V496" s="104">
        <f t="shared" si="75"/>
        <v>2107.09261628104</v>
      </c>
    </row>
    <row r="497" spans="2:22" ht="12.75">
      <c r="B497" s="9">
        <v>116</v>
      </c>
      <c r="C497" s="9" t="s">
        <v>34</v>
      </c>
      <c r="D497" s="10">
        <f t="shared" si="76"/>
        <v>448.82757486428903</v>
      </c>
      <c r="E497" s="10">
        <f t="shared" si="77"/>
        <v>27.0626762086231</v>
      </c>
      <c r="F497" s="10">
        <f t="shared" si="78"/>
        <v>421.76489865566595</v>
      </c>
      <c r="G497" s="11">
        <f t="shared" si="79"/>
        <v>42878.51703514129</v>
      </c>
      <c r="I497" s="92">
        <f t="shared" si="84"/>
        <v>116</v>
      </c>
      <c r="L497" s="9">
        <v>116</v>
      </c>
      <c r="M497" s="9" t="s">
        <v>34</v>
      </c>
      <c r="N497" s="10">
        <f t="shared" si="80"/>
        <v>1658.265041416751</v>
      </c>
      <c r="O497" s="10">
        <f t="shared" si="81"/>
        <v>435.8355261223355</v>
      </c>
      <c r="P497" s="10">
        <f t="shared" si="82"/>
        <v>1222.4295152944155</v>
      </c>
      <c r="Q497" s="11">
        <f t="shared" si="83"/>
        <v>207978.62302342665</v>
      </c>
      <c r="R497" s="9"/>
      <c r="S497" s="92">
        <f t="shared" si="74"/>
        <v>116</v>
      </c>
      <c r="V497" s="104">
        <f t="shared" si="75"/>
        <v>2107.09261628104</v>
      </c>
    </row>
    <row r="498" spans="2:22" ht="12.75">
      <c r="B498" s="9">
        <v>117</v>
      </c>
      <c r="C498" s="9" t="s">
        <v>35</v>
      </c>
      <c r="D498" s="10">
        <f t="shared" si="76"/>
        <v>448.82757486428903</v>
      </c>
      <c r="E498" s="10">
        <f t="shared" si="77"/>
        <v>26.799073146963305</v>
      </c>
      <c r="F498" s="10">
        <f t="shared" si="78"/>
        <v>422.02850171732575</v>
      </c>
      <c r="G498" s="11">
        <f t="shared" si="79"/>
        <v>42456.488533423966</v>
      </c>
      <c r="I498" s="92">
        <f t="shared" si="84"/>
        <v>117</v>
      </c>
      <c r="L498" s="9">
        <v>117</v>
      </c>
      <c r="M498" s="9" t="s">
        <v>35</v>
      </c>
      <c r="N498" s="10">
        <f t="shared" si="80"/>
        <v>1658.265041416751</v>
      </c>
      <c r="O498" s="10">
        <f t="shared" si="81"/>
        <v>433.28879796547216</v>
      </c>
      <c r="P498" s="10">
        <f t="shared" si="82"/>
        <v>1224.9762434512788</v>
      </c>
      <c r="Q498" s="11">
        <f t="shared" si="83"/>
        <v>206753.6467799754</v>
      </c>
      <c r="R498" s="9"/>
      <c r="S498" s="92">
        <f t="shared" si="74"/>
        <v>117</v>
      </c>
      <c r="V498" s="104">
        <f t="shared" si="75"/>
        <v>2107.09261628104</v>
      </c>
    </row>
    <row r="499" spans="2:22" ht="12.75">
      <c r="B499" s="9">
        <v>118</v>
      </c>
      <c r="C499" s="9" t="s">
        <v>36</v>
      </c>
      <c r="D499" s="10">
        <f t="shared" si="76"/>
        <v>448.82757486428903</v>
      </c>
      <c r="E499" s="10">
        <f t="shared" si="77"/>
        <v>26.53530533338998</v>
      </c>
      <c r="F499" s="10">
        <f t="shared" si="78"/>
        <v>422.29226953089903</v>
      </c>
      <c r="G499" s="11">
        <f t="shared" si="79"/>
        <v>42034.19626389306</v>
      </c>
      <c r="I499" s="92">
        <f t="shared" si="84"/>
        <v>118</v>
      </c>
      <c r="L499" s="9">
        <v>118</v>
      </c>
      <c r="M499" s="9" t="s">
        <v>36</v>
      </c>
      <c r="N499" s="10">
        <f t="shared" si="80"/>
        <v>1658.265041416751</v>
      </c>
      <c r="O499" s="10">
        <f t="shared" si="81"/>
        <v>430.7367641249487</v>
      </c>
      <c r="P499" s="10">
        <f t="shared" si="82"/>
        <v>1227.5282772918024</v>
      </c>
      <c r="Q499" s="11">
        <f t="shared" si="83"/>
        <v>205526.1185026836</v>
      </c>
      <c r="R499" s="9"/>
      <c r="S499" s="92">
        <f t="shared" si="74"/>
        <v>118</v>
      </c>
      <c r="V499" s="104">
        <f t="shared" si="75"/>
        <v>2107.09261628104</v>
      </c>
    </row>
    <row r="500" spans="2:22" ht="12.75">
      <c r="B500" s="9">
        <v>119</v>
      </c>
      <c r="C500" s="9" t="s">
        <v>37</v>
      </c>
      <c r="D500" s="10">
        <f t="shared" si="76"/>
        <v>448.82757486428903</v>
      </c>
      <c r="E500" s="10">
        <f t="shared" si="77"/>
        <v>26.271372664933164</v>
      </c>
      <c r="F500" s="10">
        <f t="shared" si="78"/>
        <v>422.5562021993559</v>
      </c>
      <c r="G500" s="11">
        <f t="shared" si="79"/>
        <v>41611.64006169371</v>
      </c>
      <c r="I500" s="92">
        <f t="shared" si="84"/>
        <v>119</v>
      </c>
      <c r="L500" s="9">
        <v>119</v>
      </c>
      <c r="M500" s="9" t="s">
        <v>37</v>
      </c>
      <c r="N500" s="10">
        <f t="shared" si="80"/>
        <v>1658.265041416751</v>
      </c>
      <c r="O500" s="10">
        <f t="shared" si="81"/>
        <v>428.1794135472575</v>
      </c>
      <c r="P500" s="10">
        <f t="shared" si="82"/>
        <v>1230.0856278694935</v>
      </c>
      <c r="Q500" s="11">
        <f t="shared" si="83"/>
        <v>204296.0328748141</v>
      </c>
      <c r="R500" s="9"/>
      <c r="S500" s="92">
        <f t="shared" si="74"/>
        <v>119</v>
      </c>
      <c r="V500" s="104">
        <f t="shared" si="75"/>
        <v>2107.09261628104</v>
      </c>
    </row>
    <row r="501" spans="2:22" ht="12.75">
      <c r="B501" s="9">
        <v>120</v>
      </c>
      <c r="C501" s="9" t="s">
        <v>38</v>
      </c>
      <c r="D501" s="10">
        <f t="shared" si="76"/>
        <v>448.82757486428903</v>
      </c>
      <c r="E501" s="10">
        <f t="shared" si="77"/>
        <v>26.00727503855857</v>
      </c>
      <c r="F501" s="10">
        <f t="shared" si="78"/>
        <v>422.82029982573044</v>
      </c>
      <c r="G501" s="11">
        <f t="shared" si="79"/>
        <v>41188.81976186798</v>
      </c>
      <c r="I501" s="92">
        <f t="shared" si="84"/>
        <v>120</v>
      </c>
      <c r="L501" s="9">
        <v>120</v>
      </c>
      <c r="M501" s="9" t="s">
        <v>38</v>
      </c>
      <c r="N501" s="10">
        <f t="shared" si="80"/>
        <v>1658.265041416751</v>
      </c>
      <c r="O501" s="10">
        <f t="shared" si="81"/>
        <v>425.61673515586267</v>
      </c>
      <c r="P501" s="10">
        <f t="shared" si="82"/>
        <v>1232.6483062608884</v>
      </c>
      <c r="Q501" s="11">
        <f t="shared" si="83"/>
        <v>203063.3845685532</v>
      </c>
      <c r="R501" s="9"/>
      <c r="S501" s="92">
        <f t="shared" si="74"/>
        <v>120</v>
      </c>
      <c r="T501" s="129"/>
      <c r="U501" s="129"/>
      <c r="V501" s="104">
        <f>SUM(D501+N501+R508)</f>
        <v>2939.349359459363</v>
      </c>
    </row>
    <row r="502" spans="2:22" ht="12.75">
      <c r="B502" s="2"/>
      <c r="C502" s="291" t="s">
        <v>81</v>
      </c>
      <c r="D502" s="10">
        <f>SUM(D382:D501)</f>
        <v>53859.30898371477</v>
      </c>
      <c r="E502" s="10">
        <f>SUM(E382:E501)</f>
        <v>5048.128745582707</v>
      </c>
      <c r="F502" s="10">
        <f>SUM(F382:F501)</f>
        <v>48811.18023813195</v>
      </c>
      <c r="G502" s="10"/>
      <c r="H502" s="10">
        <f>SUM(H382:H501)</f>
        <v>10000</v>
      </c>
      <c r="I502" s="92"/>
      <c r="J502" s="128">
        <f>(SUM(D490:D501)+J490)</f>
        <v>53859.308983714676</v>
      </c>
      <c r="L502" s="2"/>
      <c r="M502" s="2"/>
      <c r="N502" s="283"/>
      <c r="O502" s="283"/>
      <c r="P502" s="283"/>
      <c r="Q502" s="140"/>
      <c r="R502" s="2"/>
      <c r="S502" s="92"/>
      <c r="T502" s="129"/>
      <c r="U502" s="128">
        <f>(SUM(N490:N501)+R508+U490)</f>
        <v>205646.49345531396</v>
      </c>
      <c r="V502" s="104"/>
    </row>
    <row r="503" spans="2:22" ht="13.5" thickBot="1">
      <c r="B503" s="2"/>
      <c r="C503" s="2"/>
      <c r="D503" s="283"/>
      <c r="E503" s="283"/>
      <c r="F503" s="283"/>
      <c r="G503" s="140"/>
      <c r="H503" s="3"/>
      <c r="I503" s="284"/>
      <c r="J503" s="284"/>
      <c r="K503" s="3"/>
      <c r="L503" s="2"/>
      <c r="M503" s="2"/>
      <c r="N503" s="283"/>
      <c r="O503" s="283"/>
      <c r="P503" s="283"/>
      <c r="Q503" s="140"/>
      <c r="R503" s="2"/>
      <c r="S503" s="92"/>
      <c r="T503" s="129"/>
      <c r="U503" s="129"/>
      <c r="V503" s="104"/>
    </row>
    <row r="504" spans="2:22" ht="13.5" thickBot="1">
      <c r="B504" s="2"/>
      <c r="C504" s="2"/>
      <c r="D504" s="285"/>
      <c r="E504" s="285"/>
      <c r="F504" s="94" t="s">
        <v>114</v>
      </c>
      <c r="G504" s="282">
        <f>SUM(G501)</f>
        <v>41188.81976186798</v>
      </c>
      <c r="H504" s="3"/>
      <c r="I504" s="284"/>
      <c r="J504" s="284"/>
      <c r="K504" s="3"/>
      <c r="L504" s="2"/>
      <c r="M504" s="2"/>
      <c r="N504" s="286"/>
      <c r="O504" s="287"/>
      <c r="P504" s="288" t="s">
        <v>114</v>
      </c>
      <c r="Q504" s="289">
        <f>SUM(G504)</f>
        <v>41188.81976186798</v>
      </c>
      <c r="R504" s="2"/>
      <c r="S504" s="92"/>
      <c r="T504" s="129"/>
      <c r="U504" s="129"/>
      <c r="V504" s="104"/>
    </row>
    <row r="505" spans="2:22" ht="13.5" thickBot="1">
      <c r="B505" s="2"/>
      <c r="C505" s="2"/>
      <c r="D505" s="283"/>
      <c r="E505" s="283"/>
      <c r="F505" s="283"/>
      <c r="G505" s="140"/>
      <c r="H505" s="3"/>
      <c r="I505" s="284"/>
      <c r="J505" s="284"/>
      <c r="K505" s="3"/>
      <c r="L505" s="2"/>
      <c r="M505" s="2"/>
      <c r="N505" s="283"/>
      <c r="O505" s="283"/>
      <c r="P505" s="283"/>
      <c r="Q505" s="140"/>
      <c r="R505" s="2"/>
      <c r="S505" s="92"/>
      <c r="T505" s="129"/>
      <c r="U505" s="129"/>
      <c r="V505" s="104"/>
    </row>
    <row r="506" spans="2:22" ht="13.5" thickBot="1">
      <c r="B506" s="2"/>
      <c r="C506" s="2"/>
      <c r="D506" s="283"/>
      <c r="E506" s="283"/>
      <c r="F506" s="283"/>
      <c r="G506" s="140"/>
      <c r="H506" s="3"/>
      <c r="I506" s="284"/>
      <c r="J506" s="284"/>
      <c r="K506" s="3"/>
      <c r="L506" s="2"/>
      <c r="M506" s="2"/>
      <c r="N506" s="285"/>
      <c r="O506" s="285"/>
      <c r="P506" s="94" t="s">
        <v>115</v>
      </c>
      <c r="Q506" s="282">
        <f>SUM(Q501:Q504)</f>
        <v>244252.2043304212</v>
      </c>
      <c r="R506" s="2"/>
      <c r="S506" s="92"/>
      <c r="T506" s="129"/>
      <c r="U506" s="129"/>
      <c r="V506" s="104"/>
    </row>
    <row r="507" spans="2:22" ht="12.75">
      <c r="B507" s="2"/>
      <c r="C507" s="2"/>
      <c r="D507" s="283"/>
      <c r="E507" s="283"/>
      <c r="F507" s="283"/>
      <c r="G507" s="140"/>
      <c r="H507" s="3"/>
      <c r="I507" s="284"/>
      <c r="J507" s="284"/>
      <c r="K507" s="3"/>
      <c r="L507" s="2"/>
      <c r="M507" s="2"/>
      <c r="N507" s="283"/>
      <c r="O507" s="283"/>
      <c r="P507" s="283"/>
      <c r="Q507" s="140"/>
      <c r="R507" s="2"/>
      <c r="S507" s="92"/>
      <c r="T507" s="129"/>
      <c r="U507" s="129"/>
      <c r="V507" s="104"/>
    </row>
    <row r="508" spans="2:23" ht="12.75">
      <c r="B508" s="84">
        <v>121</v>
      </c>
      <c r="C508" s="84" t="s">
        <v>27</v>
      </c>
      <c r="D508" s="85"/>
      <c r="E508" s="85"/>
      <c r="F508" s="85"/>
      <c r="G508" s="86"/>
      <c r="I508" s="92">
        <f t="shared" si="84"/>
      </c>
      <c r="K508">
        <v>10</v>
      </c>
      <c r="L508" s="84">
        <v>121</v>
      </c>
      <c r="M508" s="84" t="s">
        <v>27</v>
      </c>
      <c r="N508" s="85">
        <f>IF(Q501&lt;(N$376+D$376),Q501+O508,(N$376+D376))</f>
        <v>2107.09261628104</v>
      </c>
      <c r="O508" s="85">
        <f>IF(Q506/100*O$376/12&lt;0,0,Q506/100*O$376/12)</f>
        <v>508.8587590217108</v>
      </c>
      <c r="P508" s="85">
        <f>N508-O508</f>
        <v>1598.2338572593294</v>
      </c>
      <c r="Q508" s="86">
        <f>Q506-P508-R508</f>
        <v>241821.71372998354</v>
      </c>
      <c r="R508" s="68">
        <f>IF((Q501-P508)&gt;Energie!S18,Energie!S18,(Q501-P508))</f>
        <v>832.2567431783225</v>
      </c>
      <c r="S508" s="92">
        <f t="shared" si="74"/>
        <v>121</v>
      </c>
      <c r="T508" s="128"/>
      <c r="V508" s="104">
        <f t="shared" si="75"/>
        <v>2107.09261628104</v>
      </c>
      <c r="W508" s="104">
        <f>SUM(V490:V501)</f>
        <v>26117.3681385508</v>
      </c>
    </row>
    <row r="509" spans="2:22" ht="12.75">
      <c r="B509" s="9">
        <v>122</v>
      </c>
      <c r="C509" s="9" t="s">
        <v>28</v>
      </c>
      <c r="D509" s="10">
        <f t="shared" si="76"/>
        <v>0</v>
      </c>
      <c r="E509" s="10">
        <f t="shared" si="77"/>
        <v>0</v>
      </c>
      <c r="F509" s="10">
        <f t="shared" si="78"/>
        <v>0</v>
      </c>
      <c r="G509" s="11">
        <f t="shared" si="79"/>
        <v>0</v>
      </c>
      <c r="I509" s="92">
        <f t="shared" si="84"/>
      </c>
      <c r="L509" s="9">
        <v>122</v>
      </c>
      <c r="M509" s="9" t="s">
        <v>28</v>
      </c>
      <c r="N509" s="10">
        <f>IF(Q508&lt;(N$376+D$376),Q508+O509,(N$376+D$376))</f>
        <v>2107.09261628104</v>
      </c>
      <c r="O509" s="10">
        <f t="shared" si="81"/>
        <v>503.7952369374657</v>
      </c>
      <c r="P509" s="10">
        <f t="shared" si="82"/>
        <v>1603.2973793435744</v>
      </c>
      <c r="Q509" s="11">
        <f t="shared" si="83"/>
        <v>240218.41635063998</v>
      </c>
      <c r="R509" s="9"/>
      <c r="S509" s="92">
        <f t="shared" si="74"/>
        <v>122</v>
      </c>
      <c r="V509" s="104">
        <f t="shared" si="75"/>
        <v>2107.09261628104</v>
      </c>
    </row>
    <row r="510" spans="2:22" ht="12.75">
      <c r="B510" s="9">
        <v>123</v>
      </c>
      <c r="C510" s="9" t="s">
        <v>29</v>
      </c>
      <c r="D510" s="10">
        <f t="shared" si="76"/>
        <v>0</v>
      </c>
      <c r="E510" s="10">
        <f t="shared" si="77"/>
        <v>0</v>
      </c>
      <c r="F510" s="10">
        <f t="shared" si="78"/>
        <v>0</v>
      </c>
      <c r="G510" s="11">
        <f t="shared" si="79"/>
        <v>0</v>
      </c>
      <c r="I510" s="92">
        <f t="shared" si="84"/>
      </c>
      <c r="L510" s="9">
        <v>123</v>
      </c>
      <c r="M510" s="9" t="s">
        <v>29</v>
      </c>
      <c r="N510" s="10">
        <f aca="true" t="shared" si="85" ref="N510:N573">IF(Q509&lt;(N$376+D$376),Q509+O510,(N$376+D$376))</f>
        <v>2107.09261628104</v>
      </c>
      <c r="O510" s="10">
        <f t="shared" si="81"/>
        <v>500.45503406383324</v>
      </c>
      <c r="P510" s="10">
        <f t="shared" si="82"/>
        <v>1606.637582217207</v>
      </c>
      <c r="Q510" s="11">
        <f t="shared" si="83"/>
        <v>238611.77876842278</v>
      </c>
      <c r="R510" s="9"/>
      <c r="S510" s="92">
        <f t="shared" si="74"/>
        <v>123</v>
      </c>
      <c r="V510" s="104">
        <f t="shared" si="75"/>
        <v>2107.09261628104</v>
      </c>
    </row>
    <row r="511" spans="2:22" ht="12.75">
      <c r="B511" s="9">
        <v>124</v>
      </c>
      <c r="C511" s="9" t="s">
        <v>30</v>
      </c>
      <c r="D511" s="10">
        <f t="shared" si="76"/>
        <v>0</v>
      </c>
      <c r="E511" s="10">
        <f t="shared" si="77"/>
        <v>0</v>
      </c>
      <c r="F511" s="10">
        <f t="shared" si="78"/>
        <v>0</v>
      </c>
      <c r="G511" s="11">
        <f t="shared" si="79"/>
        <v>0</v>
      </c>
      <c r="I511" s="92">
        <f t="shared" si="84"/>
      </c>
      <c r="L511" s="9">
        <v>124</v>
      </c>
      <c r="M511" s="9" t="s">
        <v>30</v>
      </c>
      <c r="N511" s="10">
        <f t="shared" si="85"/>
        <v>2107.09261628104</v>
      </c>
      <c r="O511" s="10">
        <f t="shared" si="81"/>
        <v>497.1078724342142</v>
      </c>
      <c r="P511" s="10">
        <f t="shared" si="82"/>
        <v>1609.984743846826</v>
      </c>
      <c r="Q511" s="11">
        <f t="shared" si="83"/>
        <v>237001.79402457597</v>
      </c>
      <c r="R511" s="9"/>
      <c r="S511" s="92">
        <f t="shared" si="74"/>
        <v>124</v>
      </c>
      <c r="V511" s="104">
        <f t="shared" si="75"/>
        <v>2107.09261628104</v>
      </c>
    </row>
    <row r="512" spans="2:22" ht="12.75">
      <c r="B512" s="9">
        <v>125</v>
      </c>
      <c r="C512" s="9" t="s">
        <v>31</v>
      </c>
      <c r="D512" s="10">
        <f t="shared" si="76"/>
        <v>0</v>
      </c>
      <c r="E512" s="10">
        <f t="shared" si="77"/>
        <v>0</v>
      </c>
      <c r="F512" s="10">
        <f t="shared" si="78"/>
        <v>0</v>
      </c>
      <c r="G512" s="11">
        <f t="shared" si="79"/>
        <v>0</v>
      </c>
      <c r="I512" s="92">
        <f t="shared" si="84"/>
      </c>
      <c r="L512" s="9">
        <v>125</v>
      </c>
      <c r="M512" s="9" t="s">
        <v>31</v>
      </c>
      <c r="N512" s="10">
        <f t="shared" si="85"/>
        <v>2107.09261628104</v>
      </c>
      <c r="O512" s="10">
        <f t="shared" si="81"/>
        <v>493.75373755119995</v>
      </c>
      <c r="P512" s="10">
        <f t="shared" si="82"/>
        <v>1613.3388787298402</v>
      </c>
      <c r="Q512" s="11">
        <f t="shared" si="83"/>
        <v>235388.45514584612</v>
      </c>
      <c r="R512" s="9"/>
      <c r="S512" s="92">
        <f t="shared" si="74"/>
        <v>125</v>
      </c>
      <c r="V512" s="104">
        <f t="shared" si="75"/>
        <v>2107.09261628104</v>
      </c>
    </row>
    <row r="513" spans="2:22" ht="12.75">
      <c r="B513" s="9">
        <v>126</v>
      </c>
      <c r="C513" s="9" t="s">
        <v>32</v>
      </c>
      <c r="D513" s="10">
        <f t="shared" si="76"/>
        <v>0</v>
      </c>
      <c r="E513" s="10">
        <f t="shared" si="77"/>
        <v>0</v>
      </c>
      <c r="F513" s="10">
        <f t="shared" si="78"/>
        <v>0</v>
      </c>
      <c r="G513" s="11">
        <f t="shared" si="79"/>
        <v>0</v>
      </c>
      <c r="I513" s="92">
        <f t="shared" si="84"/>
      </c>
      <c r="L513" s="9">
        <v>126</v>
      </c>
      <c r="M513" s="9" t="s">
        <v>32</v>
      </c>
      <c r="N513" s="10">
        <f t="shared" si="85"/>
        <v>2107.09261628104</v>
      </c>
      <c r="O513" s="10">
        <f t="shared" si="81"/>
        <v>490.39261488717943</v>
      </c>
      <c r="P513" s="10">
        <f t="shared" si="82"/>
        <v>1616.7000013938607</v>
      </c>
      <c r="Q513" s="11">
        <f t="shared" si="83"/>
        <v>233771.75514445227</v>
      </c>
      <c r="R513" s="9"/>
      <c r="S513" s="92">
        <f t="shared" si="74"/>
        <v>126</v>
      </c>
      <c r="V513" s="104">
        <f t="shared" si="75"/>
        <v>2107.09261628104</v>
      </c>
    </row>
    <row r="514" spans="2:22" ht="12.75">
      <c r="B514" s="9">
        <v>127</v>
      </c>
      <c r="C514" s="9" t="s">
        <v>33</v>
      </c>
      <c r="D514" s="10">
        <f t="shared" si="76"/>
        <v>0</v>
      </c>
      <c r="E514" s="10">
        <f t="shared" si="77"/>
        <v>0</v>
      </c>
      <c r="F514" s="10">
        <f t="shared" si="78"/>
        <v>0</v>
      </c>
      <c r="G514" s="11">
        <f t="shared" si="79"/>
        <v>0</v>
      </c>
      <c r="I514" s="92">
        <f t="shared" si="84"/>
      </c>
      <c r="L514" s="9">
        <v>127</v>
      </c>
      <c r="M514" s="9" t="s">
        <v>33</v>
      </c>
      <c r="N514" s="10">
        <f t="shared" si="85"/>
        <v>2107.09261628104</v>
      </c>
      <c r="O514" s="10">
        <f t="shared" si="81"/>
        <v>487.0244898842755</v>
      </c>
      <c r="P514" s="10">
        <f t="shared" si="82"/>
        <v>1620.0681263967647</v>
      </c>
      <c r="Q514" s="11">
        <f t="shared" si="83"/>
        <v>232151.6870180555</v>
      </c>
      <c r="R514" s="9"/>
      <c r="S514" s="92">
        <f t="shared" si="74"/>
        <v>127</v>
      </c>
      <c r="V514" s="104">
        <f t="shared" si="75"/>
        <v>2107.09261628104</v>
      </c>
    </row>
    <row r="515" spans="2:22" ht="12.75">
      <c r="B515" s="9">
        <v>128</v>
      </c>
      <c r="C515" s="9" t="s">
        <v>34</v>
      </c>
      <c r="D515" s="10">
        <f t="shared" si="76"/>
        <v>0</v>
      </c>
      <c r="E515" s="10">
        <f t="shared" si="77"/>
        <v>0</v>
      </c>
      <c r="F515" s="10">
        <f t="shared" si="78"/>
        <v>0</v>
      </c>
      <c r="G515" s="11">
        <f t="shared" si="79"/>
        <v>0</v>
      </c>
      <c r="I515" s="92">
        <f t="shared" si="84"/>
      </c>
      <c r="L515" s="9">
        <v>128</v>
      </c>
      <c r="M515" s="9" t="s">
        <v>34</v>
      </c>
      <c r="N515" s="10">
        <f t="shared" si="85"/>
        <v>2107.09261628104</v>
      </c>
      <c r="O515" s="10">
        <f t="shared" si="81"/>
        <v>483.64934795428235</v>
      </c>
      <c r="P515" s="10">
        <f t="shared" si="82"/>
        <v>1623.4432683267578</v>
      </c>
      <c r="Q515" s="11">
        <f t="shared" si="83"/>
        <v>230528.24374972875</v>
      </c>
      <c r="R515" s="9"/>
      <c r="S515" s="92">
        <f t="shared" si="74"/>
        <v>128</v>
      </c>
      <c r="V515" s="104">
        <f t="shared" si="75"/>
        <v>2107.09261628104</v>
      </c>
    </row>
    <row r="516" spans="2:22" ht="12.75">
      <c r="B516" s="9">
        <v>129</v>
      </c>
      <c r="C516" s="9" t="s">
        <v>35</v>
      </c>
      <c r="D516" s="10">
        <f t="shared" si="76"/>
        <v>0</v>
      </c>
      <c r="E516" s="10">
        <f t="shared" si="77"/>
        <v>0</v>
      </c>
      <c r="F516" s="10">
        <f t="shared" si="78"/>
        <v>0</v>
      </c>
      <c r="G516" s="11">
        <f t="shared" si="79"/>
        <v>0</v>
      </c>
      <c r="I516" s="92">
        <f t="shared" si="84"/>
      </c>
      <c r="L516" s="9">
        <v>129</v>
      </c>
      <c r="M516" s="9" t="s">
        <v>35</v>
      </c>
      <c r="N516" s="10">
        <f t="shared" si="85"/>
        <v>2107.09261628104</v>
      </c>
      <c r="O516" s="10">
        <f t="shared" si="81"/>
        <v>480.2671744786016</v>
      </c>
      <c r="P516" s="10">
        <f t="shared" si="82"/>
        <v>1626.8254418024385</v>
      </c>
      <c r="Q516" s="11">
        <f t="shared" si="83"/>
        <v>228901.4183079263</v>
      </c>
      <c r="R516" s="9"/>
      <c r="S516" s="92">
        <f>IF(O516&gt;0,L516,"")</f>
        <v>129</v>
      </c>
      <c r="V516" s="104">
        <f aca="true" t="shared" si="86" ref="V516:V579">SUM(D516+N516+R517)</f>
        <v>2107.09261628104</v>
      </c>
    </row>
    <row r="517" spans="2:22" ht="12.75">
      <c r="B517" s="9">
        <v>130</v>
      </c>
      <c r="C517" s="9" t="s">
        <v>36</v>
      </c>
      <c r="D517" s="10">
        <f aca="true" t="shared" si="87" ref="D517:D580">IF(G516&lt;D$376,G516+E517,D$376)</f>
        <v>0</v>
      </c>
      <c r="E517" s="10">
        <f aca="true" t="shared" si="88" ref="E517:E580">IF(G516/100*E$376/12&lt;0,0,G516/100*E$376/12)</f>
        <v>0</v>
      </c>
      <c r="F517" s="10">
        <f aca="true" t="shared" si="89" ref="F517:F580">D517-E517</f>
        <v>0</v>
      </c>
      <c r="G517" s="11">
        <f aca="true" t="shared" si="90" ref="G517:G580">G516-F517-H516</f>
        <v>0</v>
      </c>
      <c r="I517" s="92">
        <f t="shared" si="84"/>
      </c>
      <c r="L517" s="9">
        <v>130</v>
      </c>
      <c r="M517" s="9" t="s">
        <v>36</v>
      </c>
      <c r="N517" s="10">
        <f t="shared" si="85"/>
        <v>2107.09261628104</v>
      </c>
      <c r="O517" s="10">
        <f aca="true" t="shared" si="91" ref="O517:O580">IF(Q516/100*O$376/12&lt;0,0,Q516/100*O$376/12)</f>
        <v>476.8779548081798</v>
      </c>
      <c r="P517" s="10">
        <f aca="true" t="shared" si="92" ref="P517:P580">N517-O517</f>
        <v>1630.2146614728604</v>
      </c>
      <c r="Q517" s="11">
        <f t="shared" si="83"/>
        <v>227271.20364645345</v>
      </c>
      <c r="R517" s="9"/>
      <c r="S517" s="92">
        <f t="shared" si="74"/>
        <v>130</v>
      </c>
      <c r="V517" s="104">
        <f t="shared" si="86"/>
        <v>2107.09261628104</v>
      </c>
    </row>
    <row r="518" spans="2:22" ht="12.75">
      <c r="B518" s="9">
        <v>131</v>
      </c>
      <c r="C518" s="9" t="s">
        <v>37</v>
      </c>
      <c r="D518" s="10">
        <f t="shared" si="87"/>
        <v>0</v>
      </c>
      <c r="E518" s="10">
        <f t="shared" si="88"/>
        <v>0</v>
      </c>
      <c r="F518" s="10">
        <f t="shared" si="89"/>
        <v>0</v>
      </c>
      <c r="G518" s="11">
        <f t="shared" si="90"/>
        <v>0</v>
      </c>
      <c r="I518" s="92">
        <f t="shared" si="84"/>
      </c>
      <c r="L518" s="9">
        <v>131</v>
      </c>
      <c r="M518" s="9" t="s">
        <v>37</v>
      </c>
      <c r="N518" s="10">
        <f t="shared" si="85"/>
        <v>2107.09261628104</v>
      </c>
      <c r="O518" s="10">
        <f t="shared" si="91"/>
        <v>473.48167426344463</v>
      </c>
      <c r="P518" s="10">
        <f t="shared" si="92"/>
        <v>1633.6109420175956</v>
      </c>
      <c r="Q518" s="11">
        <f t="shared" si="83"/>
        <v>225637.59270443584</v>
      </c>
      <c r="R518" s="9"/>
      <c r="S518" s="92">
        <f aca="true" t="shared" si="93" ref="S518:S581">IF(O518&gt;0,L518,"")</f>
        <v>131</v>
      </c>
      <c r="V518" s="104">
        <f t="shared" si="86"/>
        <v>2107.09261628104</v>
      </c>
    </row>
    <row r="519" spans="2:22" ht="12.75">
      <c r="B519" s="9">
        <v>132</v>
      </c>
      <c r="C519" s="9" t="s">
        <v>38</v>
      </c>
      <c r="D519" s="10">
        <f t="shared" si="87"/>
        <v>0</v>
      </c>
      <c r="E519" s="10">
        <f t="shared" si="88"/>
        <v>0</v>
      </c>
      <c r="F519" s="10">
        <f t="shared" si="89"/>
        <v>0</v>
      </c>
      <c r="G519" s="11">
        <f t="shared" si="90"/>
        <v>0</v>
      </c>
      <c r="I519" s="92">
        <f t="shared" si="84"/>
      </c>
      <c r="L519" s="9">
        <v>132</v>
      </c>
      <c r="M519" s="9" t="s">
        <v>38</v>
      </c>
      <c r="N519" s="10">
        <f t="shared" si="85"/>
        <v>2107.09261628104</v>
      </c>
      <c r="O519" s="10">
        <f t="shared" si="91"/>
        <v>470.07831813424133</v>
      </c>
      <c r="P519" s="10">
        <f t="shared" si="92"/>
        <v>1637.0142981467989</v>
      </c>
      <c r="Q519" s="11">
        <f aca="true" t="shared" si="94" ref="Q519:Q582">Q518-P519-R519</f>
        <v>224000.57840628905</v>
      </c>
      <c r="R519" s="9"/>
      <c r="S519" s="92">
        <f t="shared" si="93"/>
        <v>132</v>
      </c>
      <c r="V519" s="104">
        <f t="shared" si="86"/>
        <v>2983.5634088123006</v>
      </c>
    </row>
    <row r="520" spans="2:23" ht="12.75">
      <c r="B520" s="84">
        <v>133</v>
      </c>
      <c r="C520" s="84" t="s">
        <v>27</v>
      </c>
      <c r="D520" s="85">
        <f t="shared" si="87"/>
        <v>0</v>
      </c>
      <c r="E520" s="85">
        <f t="shared" si="88"/>
        <v>0</v>
      </c>
      <c r="F520" s="85">
        <f t="shared" si="89"/>
        <v>0</v>
      </c>
      <c r="G520" s="86">
        <f t="shared" si="90"/>
        <v>0</v>
      </c>
      <c r="I520" s="92">
        <f t="shared" si="84"/>
      </c>
      <c r="J520" s="128">
        <f>(SUM(D508:D519)+J502)</f>
        <v>53859.308983714676</v>
      </c>
      <c r="K520">
        <v>11</v>
      </c>
      <c r="L520" s="84">
        <v>133</v>
      </c>
      <c r="M520" s="84" t="s">
        <v>27</v>
      </c>
      <c r="N520" s="85">
        <f t="shared" si="85"/>
        <v>2107.09261628104</v>
      </c>
      <c r="O520" s="85">
        <f t="shared" si="91"/>
        <v>466.6678716797689</v>
      </c>
      <c r="P520" s="85">
        <f t="shared" si="92"/>
        <v>1640.4247446012712</v>
      </c>
      <c r="Q520" s="86">
        <f t="shared" si="94"/>
        <v>221483.6828691565</v>
      </c>
      <c r="R520" s="68">
        <f>IF((Q519-P520)&gt;Energie!S20,Energie!S20,(Q519-P520))</f>
        <v>876.4707925312605</v>
      </c>
      <c r="S520" s="92">
        <f t="shared" si="93"/>
        <v>133</v>
      </c>
      <c r="T520" s="128"/>
      <c r="U520" s="128">
        <f>(SUM(N508:N519)+R520+U502)</f>
        <v>231808.0756432177</v>
      </c>
      <c r="V520" s="104">
        <f t="shared" si="86"/>
        <v>2107.09261628104</v>
      </c>
      <c r="W520" s="104">
        <f>SUM(V508:V519)</f>
        <v>26161.582187903736</v>
      </c>
    </row>
    <row r="521" spans="2:22" ht="12.75">
      <c r="B521" s="9">
        <v>134</v>
      </c>
      <c r="C521" s="9" t="s">
        <v>28</v>
      </c>
      <c r="D521" s="10">
        <f t="shared" si="87"/>
        <v>0</v>
      </c>
      <c r="E521" s="10">
        <f t="shared" si="88"/>
        <v>0</v>
      </c>
      <c r="F521" s="10">
        <f t="shared" si="89"/>
        <v>0</v>
      </c>
      <c r="G521" s="11">
        <f t="shared" si="90"/>
        <v>0</v>
      </c>
      <c r="I521" s="92">
        <f t="shared" si="84"/>
      </c>
      <c r="L521" s="9">
        <v>134</v>
      </c>
      <c r="M521" s="9" t="s">
        <v>28</v>
      </c>
      <c r="N521" s="10">
        <f t="shared" si="85"/>
        <v>2107.09261628104</v>
      </c>
      <c r="O521" s="10">
        <f t="shared" si="91"/>
        <v>461.4243393107427</v>
      </c>
      <c r="P521" s="10">
        <f t="shared" si="92"/>
        <v>1645.6682769702975</v>
      </c>
      <c r="Q521" s="11">
        <f t="shared" si="94"/>
        <v>219838.0145921862</v>
      </c>
      <c r="R521" s="9"/>
      <c r="S521" s="92">
        <f t="shared" si="93"/>
        <v>134</v>
      </c>
      <c r="V521" s="104">
        <f t="shared" si="86"/>
        <v>2107.09261628104</v>
      </c>
    </row>
    <row r="522" spans="2:22" ht="12.75">
      <c r="B522" s="9">
        <v>135</v>
      </c>
      <c r="C522" s="9" t="s">
        <v>29</v>
      </c>
      <c r="D522" s="10">
        <f t="shared" si="87"/>
        <v>0</v>
      </c>
      <c r="E522" s="10">
        <f t="shared" si="88"/>
        <v>0</v>
      </c>
      <c r="F522" s="10">
        <f t="shared" si="89"/>
        <v>0</v>
      </c>
      <c r="G522" s="11">
        <f t="shared" si="90"/>
        <v>0</v>
      </c>
      <c r="I522" s="92">
        <f t="shared" si="84"/>
      </c>
      <c r="L522" s="9">
        <v>135</v>
      </c>
      <c r="M522" s="9" t="s">
        <v>29</v>
      </c>
      <c r="N522" s="10">
        <f t="shared" si="85"/>
        <v>2107.09261628104</v>
      </c>
      <c r="O522" s="10">
        <f t="shared" si="91"/>
        <v>457.9958637337213</v>
      </c>
      <c r="P522" s="10">
        <f t="shared" si="92"/>
        <v>1649.0967525473188</v>
      </c>
      <c r="Q522" s="11">
        <f t="shared" si="94"/>
        <v>218188.9178396389</v>
      </c>
      <c r="R522" s="9"/>
      <c r="S522" s="92">
        <f t="shared" si="93"/>
        <v>135</v>
      </c>
      <c r="V522" s="104">
        <f t="shared" si="86"/>
        <v>2107.09261628104</v>
      </c>
    </row>
    <row r="523" spans="2:22" ht="12.75">
      <c r="B523" s="9">
        <v>136</v>
      </c>
      <c r="C523" s="9" t="s">
        <v>30</v>
      </c>
      <c r="D523" s="10">
        <f t="shared" si="87"/>
        <v>0</v>
      </c>
      <c r="E523" s="10">
        <f t="shared" si="88"/>
        <v>0</v>
      </c>
      <c r="F523" s="10">
        <f t="shared" si="89"/>
        <v>0</v>
      </c>
      <c r="G523" s="11">
        <f t="shared" si="90"/>
        <v>0</v>
      </c>
      <c r="I523" s="92">
        <f t="shared" si="84"/>
      </c>
      <c r="L523" s="9">
        <v>136</v>
      </c>
      <c r="M523" s="9" t="s">
        <v>30</v>
      </c>
      <c r="N523" s="10">
        <f t="shared" si="85"/>
        <v>2107.09261628104</v>
      </c>
      <c r="O523" s="10">
        <f t="shared" si="91"/>
        <v>454.5602454992477</v>
      </c>
      <c r="P523" s="10">
        <f t="shared" si="92"/>
        <v>1652.5323707817925</v>
      </c>
      <c r="Q523" s="11">
        <f t="shared" si="94"/>
        <v>216536.3854688571</v>
      </c>
      <c r="R523" s="9"/>
      <c r="S523" s="92">
        <f t="shared" si="93"/>
        <v>136</v>
      </c>
      <c r="V523" s="104">
        <f t="shared" si="86"/>
        <v>2107.09261628104</v>
      </c>
    </row>
    <row r="524" spans="2:22" ht="12.75">
      <c r="B524" s="9">
        <v>137</v>
      </c>
      <c r="C524" s="9" t="s">
        <v>31</v>
      </c>
      <c r="D524" s="10">
        <f t="shared" si="87"/>
        <v>0</v>
      </c>
      <c r="E524" s="10">
        <f t="shared" si="88"/>
        <v>0</v>
      </c>
      <c r="F524" s="10">
        <f t="shared" si="89"/>
        <v>0</v>
      </c>
      <c r="G524" s="11">
        <f t="shared" si="90"/>
        <v>0</v>
      </c>
      <c r="I524" s="92">
        <f t="shared" si="84"/>
      </c>
      <c r="L524" s="9">
        <v>137</v>
      </c>
      <c r="M524" s="9" t="s">
        <v>31</v>
      </c>
      <c r="N524" s="10">
        <f t="shared" si="85"/>
        <v>2107.09261628104</v>
      </c>
      <c r="O524" s="10">
        <f t="shared" si="91"/>
        <v>451.1174697267856</v>
      </c>
      <c r="P524" s="10">
        <f t="shared" si="92"/>
        <v>1655.9751465542545</v>
      </c>
      <c r="Q524" s="11">
        <f t="shared" si="94"/>
        <v>214880.41032230284</v>
      </c>
      <c r="R524" s="9"/>
      <c r="S524" s="92">
        <f t="shared" si="93"/>
        <v>137</v>
      </c>
      <c r="V524" s="104">
        <f t="shared" si="86"/>
        <v>2107.09261628104</v>
      </c>
    </row>
    <row r="525" spans="2:22" ht="12.75">
      <c r="B525" s="9">
        <v>138</v>
      </c>
      <c r="C525" s="9" t="s">
        <v>32</v>
      </c>
      <c r="D525" s="10">
        <f t="shared" si="87"/>
        <v>0</v>
      </c>
      <c r="E525" s="10">
        <f t="shared" si="88"/>
        <v>0</v>
      </c>
      <c r="F525" s="10">
        <f t="shared" si="89"/>
        <v>0</v>
      </c>
      <c r="G525" s="11">
        <f t="shared" si="90"/>
        <v>0</v>
      </c>
      <c r="I525" s="92">
        <f t="shared" si="84"/>
      </c>
      <c r="L525" s="9">
        <v>138</v>
      </c>
      <c r="M525" s="9" t="s">
        <v>32</v>
      </c>
      <c r="N525" s="10">
        <f t="shared" si="85"/>
        <v>2107.09261628104</v>
      </c>
      <c r="O525" s="10">
        <f t="shared" si="91"/>
        <v>447.6675215047976</v>
      </c>
      <c r="P525" s="10">
        <f t="shared" si="92"/>
        <v>1659.4250947762425</v>
      </c>
      <c r="Q525" s="11">
        <f t="shared" si="94"/>
        <v>213220.9852275266</v>
      </c>
      <c r="R525" s="9"/>
      <c r="S525" s="92">
        <f t="shared" si="93"/>
        <v>138</v>
      </c>
      <c r="V525" s="104">
        <f t="shared" si="86"/>
        <v>2107.09261628104</v>
      </c>
    </row>
    <row r="526" spans="2:22" ht="12.75">
      <c r="B526" s="9">
        <v>139</v>
      </c>
      <c r="C526" s="9" t="s">
        <v>33</v>
      </c>
      <c r="D526" s="10">
        <f t="shared" si="87"/>
        <v>0</v>
      </c>
      <c r="E526" s="10">
        <f t="shared" si="88"/>
        <v>0</v>
      </c>
      <c r="F526" s="10">
        <f t="shared" si="89"/>
        <v>0</v>
      </c>
      <c r="G526" s="11">
        <f t="shared" si="90"/>
        <v>0</v>
      </c>
      <c r="I526" s="92">
        <f t="shared" si="84"/>
      </c>
      <c r="L526" s="9">
        <v>139</v>
      </c>
      <c r="M526" s="9" t="s">
        <v>33</v>
      </c>
      <c r="N526" s="10">
        <f t="shared" si="85"/>
        <v>2107.09261628104</v>
      </c>
      <c r="O526" s="10">
        <f t="shared" si="91"/>
        <v>444.21038589068036</v>
      </c>
      <c r="P526" s="10">
        <f t="shared" si="92"/>
        <v>1662.8822303903598</v>
      </c>
      <c r="Q526" s="11">
        <f t="shared" si="94"/>
        <v>211558.10299713624</v>
      </c>
      <c r="R526" s="9"/>
      <c r="S526" s="92">
        <f t="shared" si="93"/>
        <v>139</v>
      </c>
      <c r="V526" s="104">
        <f t="shared" si="86"/>
        <v>2107.09261628104</v>
      </c>
    </row>
    <row r="527" spans="2:22" ht="12.75">
      <c r="B527" s="9">
        <v>140</v>
      </c>
      <c r="C527" s="9" t="s">
        <v>34</v>
      </c>
      <c r="D527" s="10">
        <f t="shared" si="87"/>
        <v>0</v>
      </c>
      <c r="E527" s="10">
        <f t="shared" si="88"/>
        <v>0</v>
      </c>
      <c r="F527" s="10">
        <f t="shared" si="89"/>
        <v>0</v>
      </c>
      <c r="G527" s="11">
        <f t="shared" si="90"/>
        <v>0</v>
      </c>
      <c r="I527" s="92">
        <f t="shared" si="84"/>
      </c>
      <c r="L527" s="9">
        <v>140</v>
      </c>
      <c r="M527" s="9" t="s">
        <v>34</v>
      </c>
      <c r="N527" s="10">
        <f t="shared" si="85"/>
        <v>2107.09261628104</v>
      </c>
      <c r="O527" s="10">
        <f t="shared" si="91"/>
        <v>440.74604791070055</v>
      </c>
      <c r="P527" s="10">
        <f t="shared" si="92"/>
        <v>1666.3465683703396</v>
      </c>
      <c r="Q527" s="11">
        <f t="shared" si="94"/>
        <v>209891.75642876592</v>
      </c>
      <c r="R527" s="9"/>
      <c r="S527" s="92">
        <f t="shared" si="93"/>
        <v>140</v>
      </c>
      <c r="V527" s="104">
        <f t="shared" si="86"/>
        <v>2107.09261628104</v>
      </c>
    </row>
    <row r="528" spans="2:22" ht="12.75">
      <c r="B528" s="9">
        <v>141</v>
      </c>
      <c r="C528" s="9" t="s">
        <v>35</v>
      </c>
      <c r="D528" s="10">
        <f t="shared" si="87"/>
        <v>0</v>
      </c>
      <c r="E528" s="10">
        <f t="shared" si="88"/>
        <v>0</v>
      </c>
      <c r="F528" s="10">
        <f t="shared" si="89"/>
        <v>0</v>
      </c>
      <c r="G528" s="11">
        <f t="shared" si="90"/>
        <v>0</v>
      </c>
      <c r="I528" s="92">
        <f t="shared" si="84"/>
      </c>
      <c r="L528" s="9">
        <v>141</v>
      </c>
      <c r="M528" s="9" t="s">
        <v>35</v>
      </c>
      <c r="N528" s="10">
        <f t="shared" si="85"/>
        <v>2107.09261628104</v>
      </c>
      <c r="O528" s="10">
        <f t="shared" si="91"/>
        <v>437.27449255992906</v>
      </c>
      <c r="P528" s="10">
        <f t="shared" si="92"/>
        <v>1669.818123721111</v>
      </c>
      <c r="Q528" s="11">
        <f t="shared" si="94"/>
        <v>208221.9383050448</v>
      </c>
      <c r="R528" s="9"/>
      <c r="S528" s="92">
        <f t="shared" si="93"/>
        <v>141</v>
      </c>
      <c r="V528" s="104">
        <f t="shared" si="86"/>
        <v>2107.09261628104</v>
      </c>
    </row>
    <row r="529" spans="2:22" ht="12.75">
      <c r="B529" s="9">
        <v>142</v>
      </c>
      <c r="C529" s="9" t="s">
        <v>36</v>
      </c>
      <c r="D529" s="10">
        <f t="shared" si="87"/>
        <v>0</v>
      </c>
      <c r="E529" s="10">
        <f t="shared" si="88"/>
        <v>0</v>
      </c>
      <c r="F529" s="10">
        <f t="shared" si="89"/>
        <v>0</v>
      </c>
      <c r="G529" s="11">
        <f t="shared" si="90"/>
        <v>0</v>
      </c>
      <c r="I529" s="92">
        <f t="shared" si="84"/>
      </c>
      <c r="L529" s="9">
        <v>142</v>
      </c>
      <c r="M529" s="9" t="s">
        <v>36</v>
      </c>
      <c r="N529" s="10">
        <f t="shared" si="85"/>
        <v>2107.09261628104</v>
      </c>
      <c r="O529" s="10">
        <f t="shared" si="91"/>
        <v>433.79570480217666</v>
      </c>
      <c r="P529" s="10">
        <f t="shared" si="92"/>
        <v>1673.2969114788634</v>
      </c>
      <c r="Q529" s="11">
        <f t="shared" si="94"/>
        <v>206548.64139356595</v>
      </c>
      <c r="R529" s="9"/>
      <c r="S529" s="92">
        <f t="shared" si="93"/>
        <v>142</v>
      </c>
      <c r="V529" s="104">
        <f t="shared" si="86"/>
        <v>2107.09261628104</v>
      </c>
    </row>
    <row r="530" spans="2:22" ht="12.75">
      <c r="B530" s="9">
        <v>143</v>
      </c>
      <c r="C530" s="9" t="s">
        <v>37</v>
      </c>
      <c r="D530" s="10">
        <f t="shared" si="87"/>
        <v>0</v>
      </c>
      <c r="E530" s="10">
        <f t="shared" si="88"/>
        <v>0</v>
      </c>
      <c r="F530" s="10">
        <f t="shared" si="89"/>
        <v>0</v>
      </c>
      <c r="G530" s="11">
        <f t="shared" si="90"/>
        <v>0</v>
      </c>
      <c r="I530" s="92">
        <f t="shared" si="84"/>
      </c>
      <c r="L530" s="9">
        <v>143</v>
      </c>
      <c r="M530" s="9" t="s">
        <v>37</v>
      </c>
      <c r="N530" s="10">
        <f t="shared" si="85"/>
        <v>2107.09261628104</v>
      </c>
      <c r="O530" s="10">
        <f t="shared" si="91"/>
        <v>430.3096695699291</v>
      </c>
      <c r="P530" s="10">
        <f t="shared" si="92"/>
        <v>1676.782946711111</v>
      </c>
      <c r="Q530" s="11">
        <f t="shared" si="94"/>
        <v>204871.85844685484</v>
      </c>
      <c r="R530" s="9"/>
      <c r="S530" s="92">
        <f t="shared" si="93"/>
        <v>143</v>
      </c>
      <c r="V530" s="104">
        <f t="shared" si="86"/>
        <v>2107.09261628104</v>
      </c>
    </row>
    <row r="531" spans="2:22" ht="12.75">
      <c r="B531" s="9">
        <v>144</v>
      </c>
      <c r="C531" s="9" t="s">
        <v>38</v>
      </c>
      <c r="D531" s="10">
        <f t="shared" si="87"/>
        <v>0</v>
      </c>
      <c r="E531" s="10">
        <f t="shared" si="88"/>
        <v>0</v>
      </c>
      <c r="F531" s="10">
        <f t="shared" si="89"/>
        <v>0</v>
      </c>
      <c r="G531" s="11">
        <f t="shared" si="90"/>
        <v>0</v>
      </c>
      <c r="I531" s="92">
        <f t="shared" si="84"/>
      </c>
      <c r="L531" s="9">
        <v>144</v>
      </c>
      <c r="M531" s="9" t="s">
        <v>38</v>
      </c>
      <c r="N531" s="10">
        <f t="shared" si="85"/>
        <v>2107.09261628104</v>
      </c>
      <c r="O531" s="10">
        <f t="shared" si="91"/>
        <v>426.81637176428086</v>
      </c>
      <c r="P531" s="10">
        <f t="shared" si="92"/>
        <v>1680.2762445167593</v>
      </c>
      <c r="Q531" s="11">
        <f t="shared" si="94"/>
        <v>203191.5822023381</v>
      </c>
      <c r="R531" s="9"/>
      <c r="S531" s="92">
        <f t="shared" si="93"/>
        <v>144</v>
      </c>
      <c r="V531" s="104">
        <f t="shared" si="86"/>
        <v>3030.027178815796</v>
      </c>
    </row>
    <row r="532" spans="2:23" ht="12.75">
      <c r="B532" s="84">
        <v>145</v>
      </c>
      <c r="C532" s="84" t="s">
        <v>27</v>
      </c>
      <c r="D532" s="85">
        <f t="shared" si="87"/>
        <v>0</v>
      </c>
      <c r="E532" s="85">
        <f t="shared" si="88"/>
        <v>0</v>
      </c>
      <c r="F532" s="85">
        <f t="shared" si="89"/>
        <v>0</v>
      </c>
      <c r="G532" s="86">
        <f t="shared" si="90"/>
        <v>0</v>
      </c>
      <c r="I532" s="92">
        <f t="shared" si="84"/>
      </c>
      <c r="J532" s="128">
        <f>(SUM(D520:D531)+J520)</f>
        <v>53859.308983714676</v>
      </c>
      <c r="K532">
        <v>12</v>
      </c>
      <c r="L532" s="84">
        <v>145</v>
      </c>
      <c r="M532" s="84" t="s">
        <v>27</v>
      </c>
      <c r="N532" s="85">
        <f t="shared" si="85"/>
        <v>2107.09261628104</v>
      </c>
      <c r="O532" s="85">
        <f t="shared" si="91"/>
        <v>423.31579625487103</v>
      </c>
      <c r="P532" s="85">
        <f t="shared" si="92"/>
        <v>1683.7768200261692</v>
      </c>
      <c r="Q532" s="86">
        <f t="shared" si="94"/>
        <v>200584.87081977716</v>
      </c>
      <c r="R532" s="68">
        <f>IF((Q531-P532)&gt;Energie!S21,Energie!S21,(Q531-P532))</f>
        <v>922.9345625347557</v>
      </c>
      <c r="S532" s="92">
        <f t="shared" si="93"/>
        <v>145</v>
      </c>
      <c r="T532" s="128"/>
      <c r="U532" s="128">
        <f>(SUM(N520:N531)+R532+U520)</f>
        <v>258016.1216011249</v>
      </c>
      <c r="V532" s="104">
        <f t="shared" si="86"/>
        <v>2107.09261628104</v>
      </c>
      <c r="W532" s="104">
        <f>SUM(V520:V531)</f>
        <v>26208.04595790723</v>
      </c>
    </row>
    <row r="533" spans="2:22" ht="12.75">
      <c r="B533" s="9">
        <v>146</v>
      </c>
      <c r="C533" s="9" t="s">
        <v>28</v>
      </c>
      <c r="D533" s="10">
        <f t="shared" si="87"/>
        <v>0</v>
      </c>
      <c r="E533" s="10">
        <f t="shared" si="88"/>
        <v>0</v>
      </c>
      <c r="F533" s="10">
        <f t="shared" si="89"/>
        <v>0</v>
      </c>
      <c r="G533" s="11">
        <f t="shared" si="90"/>
        <v>0</v>
      </c>
      <c r="I533" s="92">
        <f t="shared" si="84"/>
      </c>
      <c r="L533" s="9">
        <v>146</v>
      </c>
      <c r="M533" s="9" t="s">
        <v>28</v>
      </c>
      <c r="N533" s="10">
        <f t="shared" si="85"/>
        <v>2107.09261628104</v>
      </c>
      <c r="O533" s="10">
        <f t="shared" si="91"/>
        <v>417.88514754120246</v>
      </c>
      <c r="P533" s="10">
        <f t="shared" si="92"/>
        <v>1689.2074687398376</v>
      </c>
      <c r="Q533" s="11">
        <f t="shared" si="94"/>
        <v>198895.66335103734</v>
      </c>
      <c r="R533" s="9"/>
      <c r="S533" s="92">
        <f t="shared" si="93"/>
        <v>146</v>
      </c>
      <c r="V533" s="104">
        <f>SUM(D533+N533+R534)</f>
        <v>2107.09261628104</v>
      </c>
    </row>
    <row r="534" spans="2:22" ht="12.75">
      <c r="B534" s="9">
        <v>147</v>
      </c>
      <c r="C534" s="9" t="s">
        <v>29</v>
      </c>
      <c r="D534" s="10">
        <f t="shared" si="87"/>
        <v>0</v>
      </c>
      <c r="E534" s="10">
        <f t="shared" si="88"/>
        <v>0</v>
      </c>
      <c r="F534" s="10">
        <f t="shared" si="89"/>
        <v>0</v>
      </c>
      <c r="G534" s="11">
        <f t="shared" si="90"/>
        <v>0</v>
      </c>
      <c r="I534" s="92">
        <f t="shared" si="84"/>
      </c>
      <c r="L534" s="9">
        <v>147</v>
      </c>
      <c r="M534" s="9" t="s">
        <v>29</v>
      </c>
      <c r="N534" s="10">
        <f t="shared" si="85"/>
        <v>2107.09261628104</v>
      </c>
      <c r="O534" s="10">
        <f t="shared" si="91"/>
        <v>414.3659653146611</v>
      </c>
      <c r="P534" s="10">
        <f t="shared" si="92"/>
        <v>1692.726650966379</v>
      </c>
      <c r="Q534" s="11">
        <f t="shared" si="94"/>
        <v>197202.93670007095</v>
      </c>
      <c r="R534" s="9"/>
      <c r="S534" s="92">
        <f t="shared" si="93"/>
        <v>147</v>
      </c>
      <c r="V534" s="104">
        <f t="shared" si="86"/>
        <v>2107.09261628104</v>
      </c>
    </row>
    <row r="535" spans="2:22" ht="12.75">
      <c r="B535" s="9">
        <v>148</v>
      </c>
      <c r="C535" s="9" t="s">
        <v>30</v>
      </c>
      <c r="D535" s="10">
        <f t="shared" si="87"/>
        <v>0</v>
      </c>
      <c r="E535" s="10">
        <f t="shared" si="88"/>
        <v>0</v>
      </c>
      <c r="F535" s="10">
        <f t="shared" si="89"/>
        <v>0</v>
      </c>
      <c r="G535" s="11">
        <f t="shared" si="90"/>
        <v>0</v>
      </c>
      <c r="I535" s="92">
        <f t="shared" si="84"/>
      </c>
      <c r="L535" s="9">
        <v>148</v>
      </c>
      <c r="M535" s="9" t="s">
        <v>30</v>
      </c>
      <c r="N535" s="10">
        <f t="shared" si="85"/>
        <v>2107.09261628104</v>
      </c>
      <c r="O535" s="10">
        <f t="shared" si="91"/>
        <v>410.8394514584811</v>
      </c>
      <c r="P535" s="10">
        <f t="shared" si="92"/>
        <v>1696.253164822559</v>
      </c>
      <c r="Q535" s="11">
        <f t="shared" si="94"/>
        <v>195506.6835352484</v>
      </c>
      <c r="R535" s="9"/>
      <c r="S535" s="92">
        <f t="shared" si="93"/>
        <v>148</v>
      </c>
      <c r="V535" s="104">
        <f t="shared" si="86"/>
        <v>2107.09261628104</v>
      </c>
    </row>
    <row r="536" spans="2:22" ht="12.75">
      <c r="B536" s="9">
        <v>149</v>
      </c>
      <c r="C536" s="9" t="s">
        <v>31</v>
      </c>
      <c r="D536" s="10">
        <f t="shared" si="87"/>
        <v>0</v>
      </c>
      <c r="E536" s="10">
        <f t="shared" si="88"/>
        <v>0</v>
      </c>
      <c r="F536" s="10">
        <f t="shared" si="89"/>
        <v>0</v>
      </c>
      <c r="G536" s="11">
        <f t="shared" si="90"/>
        <v>0</v>
      </c>
      <c r="I536" s="92">
        <f t="shared" si="84"/>
      </c>
      <c r="L536" s="9">
        <v>149</v>
      </c>
      <c r="M536" s="9" t="s">
        <v>31</v>
      </c>
      <c r="N536" s="10">
        <f t="shared" si="85"/>
        <v>2107.09261628104</v>
      </c>
      <c r="O536" s="10">
        <f t="shared" si="91"/>
        <v>407.3055906984341</v>
      </c>
      <c r="P536" s="10">
        <f t="shared" si="92"/>
        <v>1699.787025582606</v>
      </c>
      <c r="Q536" s="11">
        <f t="shared" si="94"/>
        <v>193806.8965096658</v>
      </c>
      <c r="R536" s="9"/>
      <c r="S536" s="92">
        <f t="shared" si="93"/>
        <v>149</v>
      </c>
      <c r="V536" s="104">
        <f t="shared" si="86"/>
        <v>2107.09261628104</v>
      </c>
    </row>
    <row r="537" spans="2:22" ht="12.75">
      <c r="B537" s="9">
        <v>150</v>
      </c>
      <c r="C537" s="9" t="s">
        <v>32</v>
      </c>
      <c r="D537" s="10">
        <f t="shared" si="87"/>
        <v>0</v>
      </c>
      <c r="E537" s="10">
        <f t="shared" si="88"/>
        <v>0</v>
      </c>
      <c r="F537" s="10">
        <f t="shared" si="89"/>
        <v>0</v>
      </c>
      <c r="G537" s="11">
        <f t="shared" si="90"/>
        <v>0</v>
      </c>
      <c r="I537" s="92">
        <f t="shared" si="84"/>
      </c>
      <c r="L537" s="9">
        <v>150</v>
      </c>
      <c r="M537" s="9" t="s">
        <v>32</v>
      </c>
      <c r="N537" s="10">
        <f t="shared" si="85"/>
        <v>2107.09261628104</v>
      </c>
      <c r="O537" s="10">
        <f t="shared" si="91"/>
        <v>403.7643677284704</v>
      </c>
      <c r="P537" s="10">
        <f t="shared" si="92"/>
        <v>1703.3282485525697</v>
      </c>
      <c r="Q537" s="11">
        <f t="shared" si="94"/>
        <v>192103.56826111322</v>
      </c>
      <c r="R537" s="9"/>
      <c r="S537" s="92">
        <f t="shared" si="93"/>
        <v>150</v>
      </c>
      <c r="V537" s="104">
        <f t="shared" si="86"/>
        <v>2107.09261628104</v>
      </c>
    </row>
    <row r="538" spans="2:22" ht="12.75">
      <c r="B538" s="9">
        <v>151</v>
      </c>
      <c r="C538" s="9" t="s">
        <v>33</v>
      </c>
      <c r="D538" s="10">
        <f t="shared" si="87"/>
        <v>0</v>
      </c>
      <c r="E538" s="10">
        <f t="shared" si="88"/>
        <v>0</v>
      </c>
      <c r="F538" s="10">
        <f t="shared" si="89"/>
        <v>0</v>
      </c>
      <c r="G538" s="11">
        <f t="shared" si="90"/>
        <v>0</v>
      </c>
      <c r="I538" s="92">
        <f t="shared" si="84"/>
      </c>
      <c r="L538" s="9">
        <v>151</v>
      </c>
      <c r="M538" s="9" t="s">
        <v>33</v>
      </c>
      <c r="N538" s="10">
        <f t="shared" si="85"/>
        <v>2107.09261628104</v>
      </c>
      <c r="O538" s="10">
        <f t="shared" si="91"/>
        <v>400.21576721065253</v>
      </c>
      <c r="P538" s="10">
        <f t="shared" si="92"/>
        <v>1706.8768490703876</v>
      </c>
      <c r="Q538" s="11">
        <f t="shared" si="94"/>
        <v>190396.69141204283</v>
      </c>
      <c r="R538" s="9"/>
      <c r="S538" s="92">
        <f t="shared" si="93"/>
        <v>151</v>
      </c>
      <c r="V538" s="104">
        <f t="shared" si="86"/>
        <v>2107.09261628104</v>
      </c>
    </row>
    <row r="539" spans="2:22" ht="12.75">
      <c r="B539" s="9">
        <v>152</v>
      </c>
      <c r="C539" s="9" t="s">
        <v>34</v>
      </c>
      <c r="D539" s="10">
        <f t="shared" si="87"/>
        <v>0</v>
      </c>
      <c r="E539" s="10">
        <f t="shared" si="88"/>
        <v>0</v>
      </c>
      <c r="F539" s="10">
        <f t="shared" si="89"/>
        <v>0</v>
      </c>
      <c r="G539" s="11">
        <f t="shared" si="90"/>
        <v>0</v>
      </c>
      <c r="I539" s="92">
        <f t="shared" si="84"/>
      </c>
      <c r="L539" s="9">
        <v>152</v>
      </c>
      <c r="M539" s="9" t="s">
        <v>34</v>
      </c>
      <c r="N539" s="10">
        <f t="shared" si="85"/>
        <v>2107.09261628104</v>
      </c>
      <c r="O539" s="10">
        <f t="shared" si="91"/>
        <v>396.6597737750892</v>
      </c>
      <c r="P539" s="10">
        <f t="shared" si="92"/>
        <v>1710.432842505951</v>
      </c>
      <c r="Q539" s="11">
        <f t="shared" si="94"/>
        <v>188686.25856953688</v>
      </c>
      <c r="R539" s="9"/>
      <c r="S539" s="92">
        <f t="shared" si="93"/>
        <v>152</v>
      </c>
      <c r="V539" s="104">
        <f t="shared" si="86"/>
        <v>2107.09261628104</v>
      </c>
    </row>
    <row r="540" spans="2:22" ht="12.75">
      <c r="B540" s="9">
        <v>153</v>
      </c>
      <c r="C540" s="9" t="s">
        <v>35</v>
      </c>
      <c r="D540" s="10">
        <f t="shared" si="87"/>
        <v>0</v>
      </c>
      <c r="E540" s="10">
        <f t="shared" si="88"/>
        <v>0</v>
      </c>
      <c r="F540" s="10">
        <f t="shared" si="89"/>
        <v>0</v>
      </c>
      <c r="G540" s="11">
        <f t="shared" si="90"/>
        <v>0</v>
      </c>
      <c r="I540" s="92">
        <f t="shared" si="84"/>
      </c>
      <c r="L540" s="9">
        <v>153</v>
      </c>
      <c r="M540" s="9" t="s">
        <v>35</v>
      </c>
      <c r="N540" s="10">
        <f t="shared" si="85"/>
        <v>2107.09261628104</v>
      </c>
      <c r="O540" s="10">
        <f t="shared" si="91"/>
        <v>393.0963720198685</v>
      </c>
      <c r="P540" s="10">
        <f t="shared" si="92"/>
        <v>1713.9962442611716</v>
      </c>
      <c r="Q540" s="11">
        <f t="shared" si="94"/>
        <v>186972.26232527572</v>
      </c>
      <c r="R540" s="9"/>
      <c r="S540" s="92">
        <f t="shared" si="93"/>
        <v>153</v>
      </c>
      <c r="V540" s="104">
        <f t="shared" si="86"/>
        <v>2107.09261628104</v>
      </c>
    </row>
    <row r="541" spans="2:22" ht="12.75">
      <c r="B541" s="9">
        <v>154</v>
      </c>
      <c r="C541" s="9" t="s">
        <v>36</v>
      </c>
      <c r="D541" s="10">
        <f t="shared" si="87"/>
        <v>0</v>
      </c>
      <c r="E541" s="10">
        <f t="shared" si="88"/>
        <v>0</v>
      </c>
      <c r="F541" s="10">
        <f t="shared" si="89"/>
        <v>0</v>
      </c>
      <c r="G541" s="11">
        <f t="shared" si="90"/>
        <v>0</v>
      </c>
      <c r="I541" s="92">
        <f t="shared" si="84"/>
      </c>
      <c r="L541" s="9">
        <v>154</v>
      </c>
      <c r="M541" s="9" t="s">
        <v>36</v>
      </c>
      <c r="N541" s="10">
        <f t="shared" si="85"/>
        <v>2107.09261628104</v>
      </c>
      <c r="O541" s="10">
        <f t="shared" si="91"/>
        <v>389.52554651099103</v>
      </c>
      <c r="P541" s="10">
        <f t="shared" si="92"/>
        <v>1717.567069770049</v>
      </c>
      <c r="Q541" s="11">
        <f t="shared" si="94"/>
        <v>185254.69525550568</v>
      </c>
      <c r="R541" s="9"/>
      <c r="S541" s="92">
        <f t="shared" si="93"/>
        <v>154</v>
      </c>
      <c r="V541" s="104">
        <f t="shared" si="86"/>
        <v>2107.09261628104</v>
      </c>
    </row>
    <row r="542" spans="2:22" ht="12.75">
      <c r="B542" s="9">
        <v>155</v>
      </c>
      <c r="C542" s="9" t="s">
        <v>37</v>
      </c>
      <c r="D542" s="10">
        <f t="shared" si="87"/>
        <v>0</v>
      </c>
      <c r="E542" s="10">
        <f t="shared" si="88"/>
        <v>0</v>
      </c>
      <c r="F542" s="10">
        <f t="shared" si="89"/>
        <v>0</v>
      </c>
      <c r="G542" s="11">
        <f t="shared" si="90"/>
        <v>0</v>
      </c>
      <c r="I542" s="92">
        <f t="shared" si="84"/>
      </c>
      <c r="L542" s="9">
        <v>155</v>
      </c>
      <c r="M542" s="9" t="s">
        <v>37</v>
      </c>
      <c r="N542" s="10">
        <f t="shared" si="85"/>
        <v>2107.09261628104</v>
      </c>
      <c r="O542" s="10">
        <f t="shared" si="91"/>
        <v>385.9472817823035</v>
      </c>
      <c r="P542" s="10">
        <f t="shared" si="92"/>
        <v>1721.1453344987367</v>
      </c>
      <c r="Q542" s="11">
        <f t="shared" si="94"/>
        <v>183533.54992100695</v>
      </c>
      <c r="R542" s="9"/>
      <c r="S542" s="92">
        <f t="shared" si="93"/>
        <v>155</v>
      </c>
      <c r="V542" s="104">
        <f t="shared" si="86"/>
        <v>2107.09261628104</v>
      </c>
    </row>
    <row r="543" spans="2:22" ht="12.75">
      <c r="B543" s="9">
        <v>156</v>
      </c>
      <c r="C543" s="9" t="s">
        <v>38</v>
      </c>
      <c r="D543" s="10">
        <f t="shared" si="87"/>
        <v>0</v>
      </c>
      <c r="E543" s="10">
        <f t="shared" si="88"/>
        <v>0</v>
      </c>
      <c r="F543" s="10">
        <f t="shared" si="89"/>
        <v>0</v>
      </c>
      <c r="G543" s="11">
        <f t="shared" si="90"/>
        <v>0</v>
      </c>
      <c r="I543" s="92">
        <f t="shared" si="84"/>
      </c>
      <c r="L543" s="9">
        <v>156</v>
      </c>
      <c r="M543" s="9" t="s">
        <v>38</v>
      </c>
      <c r="N543" s="10">
        <f t="shared" si="85"/>
        <v>2107.09261628104</v>
      </c>
      <c r="O543" s="10">
        <f t="shared" si="91"/>
        <v>382.3615623354311</v>
      </c>
      <c r="P543" s="10">
        <f t="shared" si="92"/>
        <v>1724.7310539456091</v>
      </c>
      <c r="Q543" s="11">
        <f t="shared" si="94"/>
        <v>181808.81886706135</v>
      </c>
      <c r="R543" s="9"/>
      <c r="S543" s="92">
        <f t="shared" si="93"/>
        <v>156</v>
      </c>
      <c r="V543" s="104">
        <f t="shared" si="86"/>
        <v>3078.8537407751196</v>
      </c>
    </row>
    <row r="544" spans="2:23" ht="12.75">
      <c r="B544" s="84">
        <v>157</v>
      </c>
      <c r="C544" s="84" t="s">
        <v>27</v>
      </c>
      <c r="D544" s="85">
        <f t="shared" si="87"/>
        <v>0</v>
      </c>
      <c r="E544" s="85">
        <f t="shared" si="88"/>
        <v>0</v>
      </c>
      <c r="F544" s="85">
        <f t="shared" si="89"/>
        <v>0</v>
      </c>
      <c r="G544" s="86">
        <f t="shared" si="90"/>
        <v>0</v>
      </c>
      <c r="I544" s="92">
        <f t="shared" si="84"/>
      </c>
      <c r="J544" s="128">
        <f>(SUM(D532:D543)+J532)</f>
        <v>53859.308983714676</v>
      </c>
      <c r="K544">
        <v>13</v>
      </c>
      <c r="L544" s="84">
        <v>157</v>
      </c>
      <c r="M544" s="84" t="s">
        <v>27</v>
      </c>
      <c r="N544" s="85">
        <f t="shared" si="85"/>
        <v>2107.09261628104</v>
      </c>
      <c r="O544" s="85">
        <f t="shared" si="91"/>
        <v>378.7683726397111</v>
      </c>
      <c r="P544" s="85">
        <f t="shared" si="92"/>
        <v>1728.324243641329</v>
      </c>
      <c r="Q544" s="86">
        <f t="shared" si="94"/>
        <v>179108.73349892593</v>
      </c>
      <c r="R544" s="68">
        <f>IF((Q543-P544)&gt;Energie!S22,Energie!S22,(Q543-P544))</f>
        <v>971.7611244940796</v>
      </c>
      <c r="S544" s="92">
        <f t="shared" si="93"/>
        <v>157</v>
      </c>
      <c r="T544" s="128"/>
      <c r="U544" s="128">
        <f>(SUM(N532:N543)+R544+U532)</f>
        <v>284272.99412099144</v>
      </c>
      <c r="V544" s="104">
        <f t="shared" si="86"/>
        <v>2107.09261628104</v>
      </c>
      <c r="W544" s="104">
        <f>SUM(V532:V543)</f>
        <v>26256.872519866556</v>
      </c>
    </row>
    <row r="545" spans="2:22" ht="12.75">
      <c r="B545" s="9">
        <v>158</v>
      </c>
      <c r="C545" s="9" t="s">
        <v>28</v>
      </c>
      <c r="D545" s="10">
        <f t="shared" si="87"/>
        <v>0</v>
      </c>
      <c r="E545" s="10">
        <f t="shared" si="88"/>
        <v>0</v>
      </c>
      <c r="F545" s="10">
        <f t="shared" si="89"/>
        <v>0</v>
      </c>
      <c r="G545" s="11">
        <f t="shared" si="90"/>
        <v>0</v>
      </c>
      <c r="I545" s="92">
        <f t="shared" si="84"/>
      </c>
      <c r="L545" s="9">
        <v>158</v>
      </c>
      <c r="M545" s="9" t="s">
        <v>28</v>
      </c>
      <c r="N545" s="10">
        <f t="shared" si="85"/>
        <v>2107.09261628104</v>
      </c>
      <c r="O545" s="10">
        <f t="shared" si="91"/>
        <v>373.14319478942906</v>
      </c>
      <c r="P545" s="10">
        <f t="shared" si="92"/>
        <v>1733.949421491611</v>
      </c>
      <c r="Q545" s="11">
        <f t="shared" si="94"/>
        <v>177374.7840774343</v>
      </c>
      <c r="R545" s="9"/>
      <c r="S545" s="92">
        <f t="shared" si="93"/>
        <v>158</v>
      </c>
      <c r="V545" s="104">
        <f t="shared" si="86"/>
        <v>2107.09261628104</v>
      </c>
    </row>
    <row r="546" spans="2:22" ht="12.75">
      <c r="B546" s="9">
        <v>159</v>
      </c>
      <c r="C546" s="9" t="s">
        <v>29</v>
      </c>
      <c r="D546" s="10">
        <f t="shared" si="87"/>
        <v>0</v>
      </c>
      <c r="E546" s="10">
        <f t="shared" si="88"/>
        <v>0</v>
      </c>
      <c r="F546" s="10">
        <f t="shared" si="89"/>
        <v>0</v>
      </c>
      <c r="G546" s="11">
        <f t="shared" si="90"/>
        <v>0</v>
      </c>
      <c r="I546" s="92">
        <f t="shared" si="84"/>
      </c>
      <c r="L546" s="9">
        <v>159</v>
      </c>
      <c r="M546" s="9" t="s">
        <v>29</v>
      </c>
      <c r="N546" s="10">
        <f t="shared" si="85"/>
        <v>2107.09261628104</v>
      </c>
      <c r="O546" s="10">
        <f t="shared" si="91"/>
        <v>369.53080016132145</v>
      </c>
      <c r="P546" s="10">
        <f t="shared" si="92"/>
        <v>1737.5618161197187</v>
      </c>
      <c r="Q546" s="11">
        <f t="shared" si="94"/>
        <v>175637.2222613146</v>
      </c>
      <c r="R546" s="9"/>
      <c r="S546" s="92">
        <f t="shared" si="93"/>
        <v>159</v>
      </c>
      <c r="V546" s="104">
        <f t="shared" si="86"/>
        <v>2107.09261628104</v>
      </c>
    </row>
    <row r="547" spans="2:22" ht="12.75">
      <c r="B547" s="9">
        <v>160</v>
      </c>
      <c r="C547" s="9" t="s">
        <v>30</v>
      </c>
      <c r="D547" s="10">
        <f t="shared" si="87"/>
        <v>0</v>
      </c>
      <c r="E547" s="10">
        <f t="shared" si="88"/>
        <v>0</v>
      </c>
      <c r="F547" s="10">
        <f t="shared" si="89"/>
        <v>0</v>
      </c>
      <c r="G547" s="11">
        <f t="shared" si="90"/>
        <v>0</v>
      </c>
      <c r="I547" s="92">
        <f t="shared" si="84"/>
      </c>
      <c r="L547" s="9">
        <v>160</v>
      </c>
      <c r="M547" s="9" t="s">
        <v>30</v>
      </c>
      <c r="N547" s="10">
        <f t="shared" si="85"/>
        <v>2107.09261628104</v>
      </c>
      <c r="O547" s="10">
        <f t="shared" si="91"/>
        <v>365.9108797110721</v>
      </c>
      <c r="P547" s="10">
        <f t="shared" si="92"/>
        <v>1741.181736569968</v>
      </c>
      <c r="Q547" s="11">
        <f t="shared" si="94"/>
        <v>173896.04052474463</v>
      </c>
      <c r="R547" s="9"/>
      <c r="S547" s="92">
        <f t="shared" si="93"/>
        <v>160</v>
      </c>
      <c r="V547" s="104">
        <f t="shared" si="86"/>
        <v>2107.09261628104</v>
      </c>
    </row>
    <row r="548" spans="2:22" ht="12.75">
      <c r="B548" s="9">
        <v>161</v>
      </c>
      <c r="C548" s="9" t="s">
        <v>31</v>
      </c>
      <c r="D548" s="10">
        <f t="shared" si="87"/>
        <v>0</v>
      </c>
      <c r="E548" s="10">
        <f t="shared" si="88"/>
        <v>0</v>
      </c>
      <c r="F548" s="10">
        <f t="shared" si="89"/>
        <v>0</v>
      </c>
      <c r="G548" s="11">
        <f t="shared" si="90"/>
        <v>0</v>
      </c>
      <c r="I548" s="92">
        <f t="shared" si="84"/>
      </c>
      <c r="L548" s="9">
        <v>161</v>
      </c>
      <c r="M548" s="9" t="s">
        <v>31</v>
      </c>
      <c r="N548" s="10">
        <f t="shared" si="85"/>
        <v>2107.09261628104</v>
      </c>
      <c r="O548" s="10">
        <f t="shared" si="91"/>
        <v>362.2834177598847</v>
      </c>
      <c r="P548" s="10">
        <f t="shared" si="92"/>
        <v>1744.8091985211554</v>
      </c>
      <c r="Q548" s="11">
        <f t="shared" si="94"/>
        <v>172151.23132622347</v>
      </c>
      <c r="R548" s="9"/>
      <c r="S548" s="92">
        <f t="shared" si="93"/>
        <v>161</v>
      </c>
      <c r="V548" s="104">
        <f t="shared" si="86"/>
        <v>2107.09261628104</v>
      </c>
    </row>
    <row r="549" spans="2:22" ht="12.75">
      <c r="B549" s="9">
        <v>162</v>
      </c>
      <c r="C549" s="9" t="s">
        <v>32</v>
      </c>
      <c r="D549" s="10">
        <f t="shared" si="87"/>
        <v>0</v>
      </c>
      <c r="E549" s="10">
        <f t="shared" si="88"/>
        <v>0</v>
      </c>
      <c r="F549" s="10">
        <f t="shared" si="89"/>
        <v>0</v>
      </c>
      <c r="G549" s="11">
        <f t="shared" si="90"/>
        <v>0</v>
      </c>
      <c r="I549" s="92">
        <f t="shared" si="84"/>
      </c>
      <c r="L549" s="9">
        <v>162</v>
      </c>
      <c r="M549" s="9" t="s">
        <v>32</v>
      </c>
      <c r="N549" s="10">
        <f t="shared" si="85"/>
        <v>2107.09261628104</v>
      </c>
      <c r="O549" s="10">
        <f t="shared" si="91"/>
        <v>358.64839859629893</v>
      </c>
      <c r="P549" s="10">
        <f t="shared" si="92"/>
        <v>1748.4442176847413</v>
      </c>
      <c r="Q549" s="11">
        <f t="shared" si="94"/>
        <v>170402.78710853873</v>
      </c>
      <c r="R549" s="9"/>
      <c r="S549" s="92">
        <f t="shared" si="93"/>
        <v>162</v>
      </c>
      <c r="V549" s="104">
        <f t="shared" si="86"/>
        <v>2107.09261628104</v>
      </c>
    </row>
    <row r="550" spans="2:22" ht="12.75">
      <c r="B550" s="9">
        <v>163</v>
      </c>
      <c r="C550" s="9" t="s">
        <v>33</v>
      </c>
      <c r="D550" s="10">
        <f t="shared" si="87"/>
        <v>0</v>
      </c>
      <c r="E550" s="10">
        <f t="shared" si="88"/>
        <v>0</v>
      </c>
      <c r="F550" s="10">
        <f t="shared" si="89"/>
        <v>0</v>
      </c>
      <c r="G550" s="11">
        <f t="shared" si="90"/>
        <v>0</v>
      </c>
      <c r="I550" s="92">
        <f t="shared" si="84"/>
      </c>
      <c r="L550" s="9">
        <v>163</v>
      </c>
      <c r="M550" s="9" t="s">
        <v>33</v>
      </c>
      <c r="N550" s="10">
        <f t="shared" si="85"/>
        <v>2107.09261628104</v>
      </c>
      <c r="O550" s="10">
        <f t="shared" si="91"/>
        <v>355.00580647612236</v>
      </c>
      <c r="P550" s="10">
        <f t="shared" si="92"/>
        <v>1752.0868098049177</v>
      </c>
      <c r="Q550" s="11">
        <f t="shared" si="94"/>
        <v>168650.7002987338</v>
      </c>
      <c r="R550" s="9"/>
      <c r="S550" s="92">
        <f t="shared" si="93"/>
        <v>163</v>
      </c>
      <c r="V550" s="104">
        <f t="shared" si="86"/>
        <v>2107.09261628104</v>
      </c>
    </row>
    <row r="551" spans="2:22" ht="12.75">
      <c r="B551" s="9">
        <v>164</v>
      </c>
      <c r="C551" s="9" t="s">
        <v>34</v>
      </c>
      <c r="D551" s="10">
        <f t="shared" si="87"/>
        <v>0</v>
      </c>
      <c r="E551" s="10">
        <f t="shared" si="88"/>
        <v>0</v>
      </c>
      <c r="F551" s="10">
        <f t="shared" si="89"/>
        <v>0</v>
      </c>
      <c r="G551" s="11">
        <f t="shared" si="90"/>
        <v>0</v>
      </c>
      <c r="I551" s="92">
        <f t="shared" si="84"/>
      </c>
      <c r="L551" s="9">
        <v>164</v>
      </c>
      <c r="M551" s="9" t="s">
        <v>34</v>
      </c>
      <c r="N551" s="10">
        <f t="shared" si="85"/>
        <v>2107.09261628104</v>
      </c>
      <c r="O551" s="10">
        <f t="shared" si="91"/>
        <v>351.3556256223621</v>
      </c>
      <c r="P551" s="10">
        <f t="shared" si="92"/>
        <v>1755.736990658678</v>
      </c>
      <c r="Q551" s="11">
        <f t="shared" si="94"/>
        <v>166894.96330807512</v>
      </c>
      <c r="R551" s="9"/>
      <c r="S551" s="92">
        <f t="shared" si="93"/>
        <v>164</v>
      </c>
      <c r="V551" s="104">
        <f t="shared" si="86"/>
        <v>2107.09261628104</v>
      </c>
    </row>
    <row r="552" spans="2:22" ht="12.75">
      <c r="B552" s="9">
        <v>165</v>
      </c>
      <c r="C552" s="9" t="s">
        <v>35</v>
      </c>
      <c r="D552" s="10">
        <f t="shared" si="87"/>
        <v>0</v>
      </c>
      <c r="E552" s="10">
        <f t="shared" si="88"/>
        <v>0</v>
      </c>
      <c r="F552" s="10">
        <f t="shared" si="89"/>
        <v>0</v>
      </c>
      <c r="G552" s="11">
        <f t="shared" si="90"/>
        <v>0</v>
      </c>
      <c r="I552" s="92">
        <f t="shared" si="84"/>
      </c>
      <c r="L552" s="9">
        <v>165</v>
      </c>
      <c r="M552" s="9" t="s">
        <v>35</v>
      </c>
      <c r="N552" s="10">
        <f t="shared" si="85"/>
        <v>2107.09261628104</v>
      </c>
      <c r="O552" s="10">
        <f t="shared" si="91"/>
        <v>347.69784022515654</v>
      </c>
      <c r="P552" s="10">
        <f t="shared" si="92"/>
        <v>1759.3947760558835</v>
      </c>
      <c r="Q552" s="11">
        <f t="shared" si="94"/>
        <v>165135.56853201924</v>
      </c>
      <c r="R552" s="9"/>
      <c r="S552" s="92">
        <f t="shared" si="93"/>
        <v>165</v>
      </c>
      <c r="V552" s="104">
        <f t="shared" si="86"/>
        <v>2107.09261628104</v>
      </c>
    </row>
    <row r="553" spans="2:22" ht="12.75">
      <c r="B553" s="9">
        <v>166</v>
      </c>
      <c r="C553" s="9" t="s">
        <v>36</v>
      </c>
      <c r="D553" s="10">
        <f t="shared" si="87"/>
        <v>0</v>
      </c>
      <c r="E553" s="10">
        <f t="shared" si="88"/>
        <v>0</v>
      </c>
      <c r="F553" s="10">
        <f t="shared" si="89"/>
        <v>0</v>
      </c>
      <c r="G553" s="11">
        <f t="shared" si="90"/>
        <v>0</v>
      </c>
      <c r="I553" s="92">
        <f t="shared" si="84"/>
      </c>
      <c r="L553" s="9">
        <v>166</v>
      </c>
      <c r="M553" s="9" t="s">
        <v>36</v>
      </c>
      <c r="N553" s="10">
        <f t="shared" si="85"/>
        <v>2107.09261628104</v>
      </c>
      <c r="O553" s="10">
        <f t="shared" si="91"/>
        <v>344.03243444170676</v>
      </c>
      <c r="P553" s="10">
        <f t="shared" si="92"/>
        <v>1763.0601818393334</v>
      </c>
      <c r="Q553" s="11">
        <f t="shared" si="94"/>
        <v>163372.5083501799</v>
      </c>
      <c r="R553" s="9"/>
      <c r="S553" s="92">
        <f t="shared" si="93"/>
        <v>166</v>
      </c>
      <c r="V553" s="104">
        <f t="shared" si="86"/>
        <v>2107.09261628104</v>
      </c>
    </row>
    <row r="554" spans="2:22" ht="12.75">
      <c r="B554" s="9">
        <v>167</v>
      </c>
      <c r="C554" s="9" t="s">
        <v>37</v>
      </c>
      <c r="D554" s="10">
        <f t="shared" si="87"/>
        <v>0</v>
      </c>
      <c r="E554" s="10">
        <f t="shared" si="88"/>
        <v>0</v>
      </c>
      <c r="F554" s="10">
        <f t="shared" si="89"/>
        <v>0</v>
      </c>
      <c r="G554" s="11">
        <f t="shared" si="90"/>
        <v>0</v>
      </c>
      <c r="I554" s="92">
        <f t="shared" si="84"/>
      </c>
      <c r="L554" s="9">
        <v>167</v>
      </c>
      <c r="M554" s="9" t="s">
        <v>37</v>
      </c>
      <c r="N554" s="10">
        <f t="shared" si="85"/>
        <v>2107.09261628104</v>
      </c>
      <c r="O554" s="10">
        <f t="shared" si="91"/>
        <v>340.3593923962082</v>
      </c>
      <c r="P554" s="10">
        <f t="shared" si="92"/>
        <v>1766.733223884832</v>
      </c>
      <c r="Q554" s="11">
        <f t="shared" si="94"/>
        <v>161605.77512629508</v>
      </c>
      <c r="R554" s="9"/>
      <c r="S554" s="92">
        <f t="shared" si="93"/>
        <v>167</v>
      </c>
      <c r="V554" s="104">
        <f t="shared" si="86"/>
        <v>2107.09261628104</v>
      </c>
    </row>
    <row r="555" spans="2:22" ht="12.75">
      <c r="B555" s="9">
        <v>168</v>
      </c>
      <c r="C555" s="9" t="s">
        <v>38</v>
      </c>
      <c r="D555" s="10">
        <f t="shared" si="87"/>
        <v>0</v>
      </c>
      <c r="E555" s="10">
        <f t="shared" si="88"/>
        <v>0</v>
      </c>
      <c r="F555" s="10">
        <f t="shared" si="89"/>
        <v>0</v>
      </c>
      <c r="G555" s="11">
        <f t="shared" si="90"/>
        <v>0</v>
      </c>
      <c r="I555" s="92">
        <f t="shared" si="84"/>
      </c>
      <c r="L555" s="9">
        <v>168</v>
      </c>
      <c r="M555" s="9" t="s">
        <v>38</v>
      </c>
      <c r="N555" s="10">
        <f t="shared" si="85"/>
        <v>2107.09261628104</v>
      </c>
      <c r="O555" s="10">
        <f t="shared" si="91"/>
        <v>336.6786981797814</v>
      </c>
      <c r="P555" s="10">
        <f t="shared" si="92"/>
        <v>1770.4139181012588</v>
      </c>
      <c r="Q555" s="11">
        <f t="shared" si="94"/>
        <v>159835.36120819382</v>
      </c>
      <c r="R555" s="9"/>
      <c r="S555" s="92">
        <f t="shared" si="93"/>
        <v>168</v>
      </c>
      <c r="V555" s="104">
        <f t="shared" si="86"/>
        <v>3130.161828339899</v>
      </c>
    </row>
    <row r="556" spans="2:23" ht="12.75">
      <c r="B556" s="84">
        <v>169</v>
      </c>
      <c r="C556" s="84" t="s">
        <v>27</v>
      </c>
      <c r="D556" s="85">
        <f t="shared" si="87"/>
        <v>0</v>
      </c>
      <c r="E556" s="85">
        <f t="shared" si="88"/>
        <v>0</v>
      </c>
      <c r="F556" s="85">
        <f t="shared" si="89"/>
        <v>0</v>
      </c>
      <c r="G556" s="86">
        <f t="shared" si="90"/>
        <v>0</v>
      </c>
      <c r="I556" s="92">
        <f t="shared" si="84"/>
      </c>
      <c r="J556" s="128">
        <f>(SUM(D544:D555)+J544)</f>
        <v>53859.308983714676</v>
      </c>
      <c r="K556">
        <v>14</v>
      </c>
      <c r="L556" s="84">
        <v>169</v>
      </c>
      <c r="M556" s="84" t="s">
        <v>27</v>
      </c>
      <c r="N556" s="85">
        <f t="shared" si="85"/>
        <v>2107.09261628104</v>
      </c>
      <c r="O556" s="85">
        <f t="shared" si="91"/>
        <v>332.99033585040377</v>
      </c>
      <c r="P556" s="85">
        <f t="shared" si="92"/>
        <v>1774.1022804306363</v>
      </c>
      <c r="Q556" s="86">
        <f t="shared" si="94"/>
        <v>157038.18971570433</v>
      </c>
      <c r="R556" s="68">
        <f>IF((Q555-P556)&gt;Energie!S23,Energie!S23,(Q555-P556))</f>
        <v>1023.0692120588587</v>
      </c>
      <c r="S556" s="92">
        <f t="shared" si="93"/>
        <v>169</v>
      </c>
      <c r="T556" s="128"/>
      <c r="U556" s="128">
        <f>(SUM(N544:N555)+R556+U544)</f>
        <v>310581.1747284228</v>
      </c>
      <c r="V556" s="104">
        <f t="shared" si="86"/>
        <v>2107.09261628104</v>
      </c>
      <c r="W556" s="104">
        <f>SUM(V544:V555)</f>
        <v>26308.180607431335</v>
      </c>
    </row>
    <row r="557" spans="2:22" ht="12.75">
      <c r="B557" s="9">
        <v>170</v>
      </c>
      <c r="C557" s="9" t="s">
        <v>28</v>
      </c>
      <c r="D557" s="10">
        <f t="shared" si="87"/>
        <v>0</v>
      </c>
      <c r="E557" s="10">
        <f t="shared" si="88"/>
        <v>0</v>
      </c>
      <c r="F557" s="10">
        <f t="shared" si="89"/>
        <v>0</v>
      </c>
      <c r="G557" s="11">
        <f t="shared" si="90"/>
        <v>0</v>
      </c>
      <c r="I557" s="92">
        <f t="shared" si="84"/>
      </c>
      <c r="L557" s="9">
        <v>170</v>
      </c>
      <c r="M557" s="9" t="s">
        <v>28</v>
      </c>
      <c r="N557" s="10">
        <f>IF(Q556&lt;(N$376+D$376),Q556+O557,(N$376+D$376))</f>
        <v>2107.09261628104</v>
      </c>
      <c r="O557" s="10">
        <f t="shared" si="91"/>
        <v>327.1628952410507</v>
      </c>
      <c r="P557" s="10">
        <f t="shared" si="92"/>
        <v>1779.9297210399895</v>
      </c>
      <c r="Q557" s="11">
        <f t="shared" si="94"/>
        <v>155258.25999466435</v>
      </c>
      <c r="R557" s="9"/>
      <c r="S557" s="92">
        <f t="shared" si="93"/>
        <v>170</v>
      </c>
      <c r="V557" s="104">
        <f t="shared" si="86"/>
        <v>2107.09261628104</v>
      </c>
    </row>
    <row r="558" spans="2:22" ht="12.75">
      <c r="B558" s="9">
        <v>171</v>
      </c>
      <c r="C558" s="9" t="s">
        <v>29</v>
      </c>
      <c r="D558" s="10">
        <f t="shared" si="87"/>
        <v>0</v>
      </c>
      <c r="E558" s="10">
        <f t="shared" si="88"/>
        <v>0</v>
      </c>
      <c r="F558" s="10">
        <f t="shared" si="89"/>
        <v>0</v>
      </c>
      <c r="G558" s="11">
        <f t="shared" si="90"/>
        <v>0</v>
      </c>
      <c r="I558" s="92">
        <f t="shared" si="84"/>
      </c>
      <c r="L558" s="9">
        <v>171</v>
      </c>
      <c r="M558" s="9" t="s">
        <v>29</v>
      </c>
      <c r="N558" s="10">
        <f t="shared" si="85"/>
        <v>2107.09261628104</v>
      </c>
      <c r="O558" s="10">
        <f t="shared" si="91"/>
        <v>323.4547083222174</v>
      </c>
      <c r="P558" s="10">
        <f t="shared" si="92"/>
        <v>1783.6379079588228</v>
      </c>
      <c r="Q558" s="11">
        <f t="shared" si="94"/>
        <v>153474.62208670552</v>
      </c>
      <c r="R558" s="9"/>
      <c r="S558" s="92">
        <f t="shared" si="93"/>
        <v>171</v>
      </c>
      <c r="V558" s="104">
        <f t="shared" si="86"/>
        <v>2107.09261628104</v>
      </c>
    </row>
    <row r="559" spans="2:22" ht="12.75">
      <c r="B559" s="9">
        <v>172</v>
      </c>
      <c r="C559" s="9" t="s">
        <v>30</v>
      </c>
      <c r="D559" s="10">
        <f t="shared" si="87"/>
        <v>0</v>
      </c>
      <c r="E559" s="10">
        <f t="shared" si="88"/>
        <v>0</v>
      </c>
      <c r="F559" s="10">
        <f t="shared" si="89"/>
        <v>0</v>
      </c>
      <c r="G559" s="11">
        <f t="shared" si="90"/>
        <v>0</v>
      </c>
      <c r="I559" s="92">
        <f t="shared" si="84"/>
      </c>
      <c r="L559" s="9">
        <v>172</v>
      </c>
      <c r="M559" s="9" t="s">
        <v>30</v>
      </c>
      <c r="N559" s="10">
        <f t="shared" si="85"/>
        <v>2107.09261628104</v>
      </c>
      <c r="O559" s="10">
        <f t="shared" si="91"/>
        <v>319.7387960139698</v>
      </c>
      <c r="P559" s="10">
        <f t="shared" si="92"/>
        <v>1787.3538202670702</v>
      </c>
      <c r="Q559" s="11">
        <f t="shared" si="94"/>
        <v>151687.26826643845</v>
      </c>
      <c r="R559" s="9"/>
      <c r="S559" s="92">
        <f t="shared" si="93"/>
        <v>172</v>
      </c>
      <c r="V559" s="104">
        <f t="shared" si="86"/>
        <v>2107.09261628104</v>
      </c>
    </row>
    <row r="560" spans="2:22" ht="12.75">
      <c r="B560" s="9">
        <v>173</v>
      </c>
      <c r="C560" s="9" t="s">
        <v>31</v>
      </c>
      <c r="D560" s="10">
        <f t="shared" si="87"/>
        <v>0</v>
      </c>
      <c r="E560" s="10">
        <f t="shared" si="88"/>
        <v>0</v>
      </c>
      <c r="F560" s="10">
        <f t="shared" si="89"/>
        <v>0</v>
      </c>
      <c r="G560" s="11">
        <f t="shared" si="90"/>
        <v>0</v>
      </c>
      <c r="I560" s="92">
        <f t="shared" si="84"/>
      </c>
      <c r="L560" s="9">
        <v>173</v>
      </c>
      <c r="M560" s="9" t="s">
        <v>31</v>
      </c>
      <c r="N560" s="10">
        <f t="shared" si="85"/>
        <v>2107.09261628104</v>
      </c>
      <c r="O560" s="10">
        <f t="shared" si="91"/>
        <v>316.01514222174677</v>
      </c>
      <c r="P560" s="10">
        <f t="shared" si="92"/>
        <v>1791.0774740592933</v>
      </c>
      <c r="Q560" s="11">
        <f t="shared" si="94"/>
        <v>149896.19079237914</v>
      </c>
      <c r="R560" s="9"/>
      <c r="S560" s="92">
        <f t="shared" si="93"/>
        <v>173</v>
      </c>
      <c r="V560" s="104">
        <f t="shared" si="86"/>
        <v>2107.09261628104</v>
      </c>
    </row>
    <row r="561" spans="2:22" ht="12.75">
      <c r="B561" s="9">
        <v>174</v>
      </c>
      <c r="C561" s="9" t="s">
        <v>32</v>
      </c>
      <c r="D561" s="10">
        <f t="shared" si="87"/>
        <v>0</v>
      </c>
      <c r="E561" s="10">
        <f t="shared" si="88"/>
        <v>0</v>
      </c>
      <c r="F561" s="10">
        <f t="shared" si="89"/>
        <v>0</v>
      </c>
      <c r="G561" s="11">
        <f t="shared" si="90"/>
        <v>0</v>
      </c>
      <c r="I561" s="92">
        <f t="shared" si="84"/>
      </c>
      <c r="L561" s="9">
        <v>174</v>
      </c>
      <c r="M561" s="9" t="s">
        <v>32</v>
      </c>
      <c r="N561" s="10">
        <f t="shared" si="85"/>
        <v>2107.09261628104</v>
      </c>
      <c r="O561" s="10">
        <f t="shared" si="91"/>
        <v>312.2837308174565</v>
      </c>
      <c r="P561" s="10">
        <f t="shared" si="92"/>
        <v>1794.8088854635837</v>
      </c>
      <c r="Q561" s="11">
        <f t="shared" si="94"/>
        <v>148101.38190691557</v>
      </c>
      <c r="R561" s="9"/>
      <c r="S561" s="92">
        <f t="shared" si="93"/>
        <v>174</v>
      </c>
      <c r="V561" s="104">
        <f t="shared" si="86"/>
        <v>2107.09261628104</v>
      </c>
    </row>
    <row r="562" spans="2:22" ht="12.75">
      <c r="B562" s="9">
        <v>175</v>
      </c>
      <c r="C562" s="9" t="s">
        <v>33</v>
      </c>
      <c r="D562" s="10">
        <f t="shared" si="87"/>
        <v>0</v>
      </c>
      <c r="E562" s="10">
        <f t="shared" si="88"/>
        <v>0</v>
      </c>
      <c r="F562" s="10">
        <f t="shared" si="89"/>
        <v>0</v>
      </c>
      <c r="G562" s="11">
        <f t="shared" si="90"/>
        <v>0</v>
      </c>
      <c r="I562" s="92">
        <f aca="true" t="shared" si="95" ref="I562:I590">IF(E562&gt;0,B562,"")</f>
      </c>
      <c r="L562" s="9">
        <v>175</v>
      </c>
      <c r="M562" s="9" t="s">
        <v>33</v>
      </c>
      <c r="N562" s="10">
        <f t="shared" si="85"/>
        <v>2107.09261628104</v>
      </c>
      <c r="O562" s="10">
        <f t="shared" si="91"/>
        <v>308.54454563940743</v>
      </c>
      <c r="P562" s="10">
        <f t="shared" si="92"/>
        <v>1798.5480706416326</v>
      </c>
      <c r="Q562" s="11">
        <f t="shared" si="94"/>
        <v>146302.83383627393</v>
      </c>
      <c r="R562" s="9"/>
      <c r="S562" s="92">
        <f t="shared" si="93"/>
        <v>175</v>
      </c>
      <c r="V562" s="104">
        <f t="shared" si="86"/>
        <v>2107.09261628104</v>
      </c>
    </row>
    <row r="563" spans="2:22" ht="12.75">
      <c r="B563" s="9">
        <v>176</v>
      </c>
      <c r="C563" s="9" t="s">
        <v>34</v>
      </c>
      <c r="D563" s="10">
        <f t="shared" si="87"/>
        <v>0</v>
      </c>
      <c r="E563" s="10">
        <f t="shared" si="88"/>
        <v>0</v>
      </c>
      <c r="F563" s="10">
        <f t="shared" si="89"/>
        <v>0</v>
      </c>
      <c r="G563" s="11">
        <f t="shared" si="90"/>
        <v>0</v>
      </c>
      <c r="I563" s="92">
        <f t="shared" si="95"/>
      </c>
      <c r="L563" s="9">
        <v>176</v>
      </c>
      <c r="M563" s="9" t="s">
        <v>34</v>
      </c>
      <c r="N563" s="10">
        <f t="shared" si="85"/>
        <v>2107.09261628104</v>
      </c>
      <c r="O563" s="10">
        <f t="shared" si="91"/>
        <v>304.79757049223736</v>
      </c>
      <c r="P563" s="10">
        <f t="shared" si="92"/>
        <v>1802.2950457888028</v>
      </c>
      <c r="Q563" s="11">
        <f t="shared" si="94"/>
        <v>144500.53879048512</v>
      </c>
      <c r="R563" s="9"/>
      <c r="S563" s="92">
        <f t="shared" si="93"/>
        <v>176</v>
      </c>
      <c r="V563" s="104">
        <f t="shared" si="86"/>
        <v>2107.09261628104</v>
      </c>
    </row>
    <row r="564" spans="2:22" ht="12.75">
      <c r="B564" s="9">
        <v>177</v>
      </c>
      <c r="C564" s="9" t="s">
        <v>35</v>
      </c>
      <c r="D564" s="10">
        <f t="shared" si="87"/>
        <v>0</v>
      </c>
      <c r="E564" s="10">
        <f t="shared" si="88"/>
        <v>0</v>
      </c>
      <c r="F564" s="10">
        <f t="shared" si="89"/>
        <v>0</v>
      </c>
      <c r="G564" s="11">
        <f t="shared" si="90"/>
        <v>0</v>
      </c>
      <c r="I564" s="92">
        <f t="shared" si="95"/>
      </c>
      <c r="L564" s="9">
        <v>177</v>
      </c>
      <c r="M564" s="9" t="s">
        <v>35</v>
      </c>
      <c r="N564" s="10">
        <f t="shared" si="85"/>
        <v>2107.09261628104</v>
      </c>
      <c r="O564" s="10">
        <f t="shared" si="91"/>
        <v>301.042789146844</v>
      </c>
      <c r="P564" s="10">
        <f t="shared" si="92"/>
        <v>1806.0498271341962</v>
      </c>
      <c r="Q564" s="11">
        <f t="shared" si="94"/>
        <v>142694.48896335092</v>
      </c>
      <c r="R564" s="9"/>
      <c r="S564" s="92">
        <f t="shared" si="93"/>
        <v>177</v>
      </c>
      <c r="V564" s="104">
        <f t="shared" si="86"/>
        <v>2107.09261628104</v>
      </c>
    </row>
    <row r="565" spans="2:22" ht="12.75">
      <c r="B565" s="9">
        <v>178</v>
      </c>
      <c r="C565" s="9" t="s">
        <v>36</v>
      </c>
      <c r="D565" s="10">
        <f t="shared" si="87"/>
        <v>0</v>
      </c>
      <c r="E565" s="10">
        <f t="shared" si="88"/>
        <v>0</v>
      </c>
      <c r="F565" s="10">
        <f t="shared" si="89"/>
        <v>0</v>
      </c>
      <c r="G565" s="11">
        <f t="shared" si="90"/>
        <v>0</v>
      </c>
      <c r="I565" s="92">
        <f t="shared" si="95"/>
      </c>
      <c r="L565" s="9">
        <v>178</v>
      </c>
      <c r="M565" s="9" t="s">
        <v>36</v>
      </c>
      <c r="N565" s="10">
        <f t="shared" si="85"/>
        <v>2107.09261628104</v>
      </c>
      <c r="O565" s="10">
        <f t="shared" si="91"/>
        <v>297.2801853403144</v>
      </c>
      <c r="P565" s="10">
        <f t="shared" si="92"/>
        <v>1809.8124309407258</v>
      </c>
      <c r="Q565" s="11">
        <f t="shared" si="94"/>
        <v>140884.6765324102</v>
      </c>
      <c r="R565" s="9"/>
      <c r="S565" s="92">
        <f t="shared" si="93"/>
        <v>178</v>
      </c>
      <c r="V565" s="104">
        <f t="shared" si="86"/>
        <v>2107.09261628104</v>
      </c>
    </row>
    <row r="566" spans="2:22" ht="12.75">
      <c r="B566" s="9">
        <v>179</v>
      </c>
      <c r="C566" s="9" t="s">
        <v>37</v>
      </c>
      <c r="D566" s="10">
        <f t="shared" si="87"/>
        <v>0</v>
      </c>
      <c r="E566" s="10">
        <f t="shared" si="88"/>
        <v>0</v>
      </c>
      <c r="F566" s="10">
        <f t="shared" si="89"/>
        <v>0</v>
      </c>
      <c r="G566" s="11">
        <f t="shared" si="90"/>
        <v>0</v>
      </c>
      <c r="I566" s="92">
        <f t="shared" si="95"/>
      </c>
      <c r="L566" s="9">
        <v>179</v>
      </c>
      <c r="M566" s="9" t="s">
        <v>37</v>
      </c>
      <c r="N566" s="10">
        <f t="shared" si="85"/>
        <v>2107.09261628104</v>
      </c>
      <c r="O566" s="10">
        <f t="shared" si="91"/>
        <v>293.5097427758546</v>
      </c>
      <c r="P566" s="10">
        <f t="shared" si="92"/>
        <v>1813.5828735051855</v>
      </c>
      <c r="Q566" s="11">
        <f t="shared" si="94"/>
        <v>139071.093658905</v>
      </c>
      <c r="R566" s="9"/>
      <c r="S566" s="92">
        <f t="shared" si="93"/>
        <v>179</v>
      </c>
      <c r="V566" s="104">
        <f t="shared" si="86"/>
        <v>2107.09261628104</v>
      </c>
    </row>
    <row r="567" spans="2:22" ht="12.75">
      <c r="B567" s="9">
        <v>180</v>
      </c>
      <c r="C567" s="9" t="s">
        <v>38</v>
      </c>
      <c r="D567" s="10">
        <f t="shared" si="87"/>
        <v>0</v>
      </c>
      <c r="E567" s="10">
        <f t="shared" si="88"/>
        <v>0</v>
      </c>
      <c r="F567" s="10">
        <f t="shared" si="89"/>
        <v>0</v>
      </c>
      <c r="G567" s="11">
        <f t="shared" si="90"/>
        <v>0</v>
      </c>
      <c r="I567" s="92">
        <f t="shared" si="95"/>
      </c>
      <c r="L567" s="9">
        <v>180</v>
      </c>
      <c r="M567" s="9" t="s">
        <v>38</v>
      </c>
      <c r="N567" s="10">
        <f t="shared" si="85"/>
        <v>2107.09261628104</v>
      </c>
      <c r="O567" s="10">
        <f t="shared" si="91"/>
        <v>289.73144512271875</v>
      </c>
      <c r="P567" s="10">
        <f t="shared" si="92"/>
        <v>1817.3611711583214</v>
      </c>
      <c r="Q567" s="11">
        <f t="shared" si="94"/>
        <v>137253.7324877467</v>
      </c>
      <c r="R567" s="9"/>
      <c r="S567" s="92">
        <f t="shared" si="93"/>
        <v>180</v>
      </c>
      <c r="V567" s="104">
        <f t="shared" si="86"/>
        <v>3184.0761207530177</v>
      </c>
    </row>
    <row r="568" spans="2:23" ht="12.75">
      <c r="B568" s="84">
        <v>181</v>
      </c>
      <c r="C568" s="84" t="s">
        <v>27</v>
      </c>
      <c r="D568" s="85">
        <f t="shared" si="87"/>
        <v>0</v>
      </c>
      <c r="E568" s="85">
        <f t="shared" si="88"/>
        <v>0</v>
      </c>
      <c r="F568" s="85">
        <f t="shared" si="89"/>
        <v>0</v>
      </c>
      <c r="G568" s="86">
        <f t="shared" si="90"/>
        <v>0</v>
      </c>
      <c r="I568" s="92">
        <f t="shared" si="95"/>
      </c>
      <c r="J568" s="128">
        <f>(SUM(D556:D567)+J556)</f>
        <v>53859.308983714676</v>
      </c>
      <c r="K568">
        <v>15</v>
      </c>
      <c r="L568" s="84">
        <v>181</v>
      </c>
      <c r="M568" s="84" t="s">
        <v>27</v>
      </c>
      <c r="N568" s="85">
        <f t="shared" si="85"/>
        <v>2107.09261628104</v>
      </c>
      <c r="O568" s="85">
        <f t="shared" si="91"/>
        <v>285.94527601613896</v>
      </c>
      <c r="P568" s="85">
        <f t="shared" si="92"/>
        <v>1821.1473402649012</v>
      </c>
      <c r="Q568" s="86">
        <f t="shared" si="94"/>
        <v>134355.6016430098</v>
      </c>
      <c r="R568" s="68">
        <f>IF((Q567-P568)&gt;Energie!S24,Energie!S24,(Q567-P568))</f>
        <v>1076.9835044719778</v>
      </c>
      <c r="S568" s="92">
        <f t="shared" si="93"/>
        <v>181</v>
      </c>
      <c r="T568" s="128"/>
      <c r="U568" s="128">
        <f>(SUM(N556:N567)+R568+U556)</f>
        <v>336943.2696282672</v>
      </c>
      <c r="V568" s="104">
        <f t="shared" si="86"/>
        <v>2107.09261628104</v>
      </c>
      <c r="W568" s="104">
        <f>SUM(V556:V567)</f>
        <v>26362.09489984445</v>
      </c>
    </row>
    <row r="569" spans="2:22" ht="12.75">
      <c r="B569" s="9">
        <v>182</v>
      </c>
      <c r="C569" s="9" t="s">
        <v>28</v>
      </c>
      <c r="D569" s="10">
        <f t="shared" si="87"/>
        <v>0</v>
      </c>
      <c r="E569" s="10">
        <f t="shared" si="88"/>
        <v>0</v>
      </c>
      <c r="F569" s="10">
        <f t="shared" si="89"/>
        <v>0</v>
      </c>
      <c r="G569" s="11">
        <f t="shared" si="90"/>
        <v>0</v>
      </c>
      <c r="I569" s="92">
        <f t="shared" si="95"/>
      </c>
      <c r="L569" s="9">
        <v>182</v>
      </c>
      <c r="M569" s="9" t="s">
        <v>28</v>
      </c>
      <c r="N569" s="10">
        <f t="shared" si="85"/>
        <v>2107.09261628104</v>
      </c>
      <c r="O569" s="10">
        <f t="shared" si="91"/>
        <v>279.90750342293705</v>
      </c>
      <c r="P569" s="10">
        <f t="shared" si="92"/>
        <v>1827.1851128581031</v>
      </c>
      <c r="Q569" s="11">
        <f t="shared" si="94"/>
        <v>132528.4165301517</v>
      </c>
      <c r="R569" s="9"/>
      <c r="S569" s="92">
        <f t="shared" si="93"/>
        <v>182</v>
      </c>
      <c r="V569" s="104">
        <f t="shared" si="86"/>
        <v>2107.09261628104</v>
      </c>
    </row>
    <row r="570" spans="2:22" ht="12.75">
      <c r="B570" s="9">
        <v>183</v>
      </c>
      <c r="C570" s="9" t="s">
        <v>29</v>
      </c>
      <c r="D570" s="10">
        <f t="shared" si="87"/>
        <v>0</v>
      </c>
      <c r="E570" s="10">
        <f t="shared" si="88"/>
        <v>0</v>
      </c>
      <c r="F570" s="10">
        <f t="shared" si="89"/>
        <v>0</v>
      </c>
      <c r="G570" s="11">
        <f t="shared" si="90"/>
        <v>0</v>
      </c>
      <c r="I570" s="92">
        <f t="shared" si="95"/>
      </c>
      <c r="L570" s="9">
        <v>183</v>
      </c>
      <c r="M570" s="9" t="s">
        <v>29</v>
      </c>
      <c r="N570" s="10">
        <f t="shared" si="85"/>
        <v>2107.09261628104</v>
      </c>
      <c r="O570" s="10">
        <f t="shared" si="91"/>
        <v>276.10086777114935</v>
      </c>
      <c r="P570" s="10">
        <f t="shared" si="92"/>
        <v>1830.9917485098908</v>
      </c>
      <c r="Q570" s="11">
        <f t="shared" si="94"/>
        <v>130697.42478164182</v>
      </c>
      <c r="R570" s="9"/>
      <c r="S570" s="92">
        <f t="shared" si="93"/>
        <v>183</v>
      </c>
      <c r="V570" s="104">
        <f t="shared" si="86"/>
        <v>2107.09261628104</v>
      </c>
    </row>
    <row r="571" spans="2:22" ht="12.75">
      <c r="B571" s="9">
        <v>184</v>
      </c>
      <c r="C571" s="9" t="s">
        <v>30</v>
      </c>
      <c r="D571" s="10">
        <f t="shared" si="87"/>
        <v>0</v>
      </c>
      <c r="E571" s="10">
        <f t="shared" si="88"/>
        <v>0</v>
      </c>
      <c r="F571" s="10">
        <f t="shared" si="89"/>
        <v>0</v>
      </c>
      <c r="G571" s="11">
        <f t="shared" si="90"/>
        <v>0</v>
      </c>
      <c r="I571" s="92">
        <f t="shared" si="95"/>
      </c>
      <c r="L571" s="9">
        <v>184</v>
      </c>
      <c r="M571" s="9" t="s">
        <v>30</v>
      </c>
      <c r="N571" s="10">
        <f t="shared" si="85"/>
        <v>2107.09261628104</v>
      </c>
      <c r="O571" s="10">
        <f t="shared" si="91"/>
        <v>272.28630162842046</v>
      </c>
      <c r="P571" s="10">
        <f t="shared" si="92"/>
        <v>1834.8063146526197</v>
      </c>
      <c r="Q571" s="11">
        <f t="shared" si="94"/>
        <v>128862.6184669892</v>
      </c>
      <c r="R571" s="9"/>
      <c r="S571" s="92">
        <f t="shared" si="93"/>
        <v>184</v>
      </c>
      <c r="V571" s="104">
        <f t="shared" si="86"/>
        <v>2107.09261628104</v>
      </c>
    </row>
    <row r="572" spans="2:22" ht="12.75">
      <c r="B572" s="9">
        <v>185</v>
      </c>
      <c r="C572" s="9" t="s">
        <v>31</v>
      </c>
      <c r="D572" s="10">
        <f t="shared" si="87"/>
        <v>0</v>
      </c>
      <c r="E572" s="10">
        <f t="shared" si="88"/>
        <v>0</v>
      </c>
      <c r="F572" s="10">
        <f t="shared" si="89"/>
        <v>0</v>
      </c>
      <c r="G572" s="11">
        <f t="shared" si="90"/>
        <v>0</v>
      </c>
      <c r="I572" s="92">
        <f t="shared" si="95"/>
      </c>
      <c r="L572" s="9">
        <v>185</v>
      </c>
      <c r="M572" s="9" t="s">
        <v>31</v>
      </c>
      <c r="N572" s="10">
        <f t="shared" si="85"/>
        <v>2107.09261628104</v>
      </c>
      <c r="O572" s="10">
        <f t="shared" si="91"/>
        <v>268.4637884728941</v>
      </c>
      <c r="P572" s="10">
        <f t="shared" si="92"/>
        <v>1838.628827808146</v>
      </c>
      <c r="Q572" s="11">
        <f t="shared" si="94"/>
        <v>127023.98963918105</v>
      </c>
      <c r="R572" s="9"/>
      <c r="S572" s="92">
        <f t="shared" si="93"/>
        <v>185</v>
      </c>
      <c r="V572" s="104">
        <f t="shared" si="86"/>
        <v>2107.09261628104</v>
      </c>
    </row>
    <row r="573" spans="2:22" ht="12.75">
      <c r="B573" s="9">
        <v>186</v>
      </c>
      <c r="C573" s="9" t="s">
        <v>32</v>
      </c>
      <c r="D573" s="10">
        <f t="shared" si="87"/>
        <v>0</v>
      </c>
      <c r="E573" s="10">
        <f t="shared" si="88"/>
        <v>0</v>
      </c>
      <c r="F573" s="10">
        <f t="shared" si="89"/>
        <v>0</v>
      </c>
      <c r="G573" s="11">
        <f t="shared" si="90"/>
        <v>0</v>
      </c>
      <c r="I573" s="92">
        <f t="shared" si="95"/>
      </c>
      <c r="L573" s="9">
        <v>186</v>
      </c>
      <c r="M573" s="9" t="s">
        <v>32</v>
      </c>
      <c r="N573" s="10">
        <f t="shared" si="85"/>
        <v>2107.09261628104</v>
      </c>
      <c r="O573" s="10">
        <f t="shared" si="91"/>
        <v>264.6333117482938</v>
      </c>
      <c r="P573" s="10">
        <f t="shared" si="92"/>
        <v>1842.4593045327463</v>
      </c>
      <c r="Q573" s="11">
        <f t="shared" si="94"/>
        <v>125181.5303346483</v>
      </c>
      <c r="R573" s="9"/>
      <c r="S573" s="92">
        <f t="shared" si="93"/>
        <v>186</v>
      </c>
      <c r="V573" s="104">
        <f t="shared" si="86"/>
        <v>2107.09261628104</v>
      </c>
    </row>
    <row r="574" spans="2:22" ht="12.75">
      <c r="B574" s="9">
        <v>187</v>
      </c>
      <c r="C574" s="9" t="s">
        <v>33</v>
      </c>
      <c r="D574" s="10">
        <f t="shared" si="87"/>
        <v>0</v>
      </c>
      <c r="E574" s="10">
        <f t="shared" si="88"/>
        <v>0</v>
      </c>
      <c r="F574" s="10">
        <f t="shared" si="89"/>
        <v>0</v>
      </c>
      <c r="G574" s="11">
        <f t="shared" si="90"/>
        <v>0</v>
      </c>
      <c r="I574" s="92">
        <f t="shared" si="95"/>
      </c>
      <c r="L574" s="9">
        <v>187</v>
      </c>
      <c r="M574" s="9" t="s">
        <v>33</v>
      </c>
      <c r="N574" s="10">
        <f aca="true" t="shared" si="96" ref="N574:N583">IF(Q573&lt;(N$376+D$376),Q573+O574,(N$376+D$376))</f>
        <v>2107.09261628104</v>
      </c>
      <c r="O574" s="10">
        <f t="shared" si="91"/>
        <v>260.7948548638506</v>
      </c>
      <c r="P574" s="10">
        <f t="shared" si="92"/>
        <v>1846.2977614171896</v>
      </c>
      <c r="Q574" s="11">
        <f t="shared" si="94"/>
        <v>123335.23257323111</v>
      </c>
      <c r="R574" s="9"/>
      <c r="S574" s="92">
        <f t="shared" si="93"/>
        <v>187</v>
      </c>
      <c r="V574" s="104">
        <f t="shared" si="86"/>
        <v>2107.09261628104</v>
      </c>
    </row>
    <row r="575" spans="2:22" ht="12.75">
      <c r="B575" s="9">
        <v>188</v>
      </c>
      <c r="C575" s="9" t="s">
        <v>34</v>
      </c>
      <c r="D575" s="10">
        <f t="shared" si="87"/>
        <v>0</v>
      </c>
      <c r="E575" s="10">
        <f t="shared" si="88"/>
        <v>0</v>
      </c>
      <c r="F575" s="10">
        <f t="shared" si="89"/>
        <v>0</v>
      </c>
      <c r="G575" s="11">
        <f t="shared" si="90"/>
        <v>0</v>
      </c>
      <c r="I575" s="92">
        <f t="shared" si="95"/>
      </c>
      <c r="L575" s="9">
        <v>188</v>
      </c>
      <c r="M575" s="9" t="s">
        <v>34</v>
      </c>
      <c r="N575" s="10">
        <f t="shared" si="96"/>
        <v>2107.09261628104</v>
      </c>
      <c r="O575" s="10">
        <f t="shared" si="91"/>
        <v>256.9484011942315</v>
      </c>
      <c r="P575" s="10">
        <f t="shared" si="92"/>
        <v>1850.1442150868086</v>
      </c>
      <c r="Q575" s="11">
        <f t="shared" si="94"/>
        <v>121485.0883581443</v>
      </c>
      <c r="R575" s="9"/>
      <c r="S575" s="92">
        <f t="shared" si="93"/>
        <v>188</v>
      </c>
      <c r="V575" s="104">
        <f t="shared" si="86"/>
        <v>2107.09261628104</v>
      </c>
    </row>
    <row r="576" spans="2:22" ht="12.75">
      <c r="B576" s="9">
        <v>189</v>
      </c>
      <c r="C576" s="9" t="s">
        <v>35</v>
      </c>
      <c r="D576" s="10">
        <f t="shared" si="87"/>
        <v>0</v>
      </c>
      <c r="E576" s="10">
        <f t="shared" si="88"/>
        <v>0</v>
      </c>
      <c r="F576" s="10">
        <f t="shared" si="89"/>
        <v>0</v>
      </c>
      <c r="G576" s="11">
        <f t="shared" si="90"/>
        <v>0</v>
      </c>
      <c r="I576" s="92">
        <f t="shared" si="95"/>
      </c>
      <c r="L576" s="9">
        <v>189</v>
      </c>
      <c r="M576" s="9" t="s">
        <v>35</v>
      </c>
      <c r="N576" s="10">
        <f t="shared" si="96"/>
        <v>2107.09261628104</v>
      </c>
      <c r="O576" s="10">
        <f t="shared" si="91"/>
        <v>253.0939340794673</v>
      </c>
      <c r="P576" s="10">
        <f t="shared" si="92"/>
        <v>1853.9986822015728</v>
      </c>
      <c r="Q576" s="11">
        <f t="shared" si="94"/>
        <v>119631.08967594273</v>
      </c>
      <c r="R576" s="9"/>
      <c r="S576" s="92">
        <f t="shared" si="93"/>
        <v>189</v>
      </c>
      <c r="V576" s="104">
        <f t="shared" si="86"/>
        <v>2107.09261628104</v>
      </c>
    </row>
    <row r="577" spans="2:22" ht="12.75">
      <c r="B577" s="9">
        <v>190</v>
      </c>
      <c r="C577" s="9" t="s">
        <v>36</v>
      </c>
      <c r="D577" s="10">
        <f t="shared" si="87"/>
        <v>0</v>
      </c>
      <c r="E577" s="10">
        <f t="shared" si="88"/>
        <v>0</v>
      </c>
      <c r="F577" s="10">
        <f t="shared" si="89"/>
        <v>0</v>
      </c>
      <c r="G577" s="11">
        <f t="shared" si="90"/>
        <v>0</v>
      </c>
      <c r="I577" s="92">
        <f t="shared" si="95"/>
      </c>
      <c r="L577" s="9">
        <v>190</v>
      </c>
      <c r="M577" s="9" t="s">
        <v>36</v>
      </c>
      <c r="N577" s="10">
        <f t="shared" si="96"/>
        <v>2107.09261628104</v>
      </c>
      <c r="O577" s="10">
        <f t="shared" si="91"/>
        <v>249.2314368248807</v>
      </c>
      <c r="P577" s="10">
        <f t="shared" si="92"/>
        <v>1857.8611794561593</v>
      </c>
      <c r="Q577" s="11">
        <f t="shared" si="94"/>
        <v>117773.22849648657</v>
      </c>
      <c r="R577" s="9"/>
      <c r="S577" s="92">
        <f t="shared" si="93"/>
        <v>190</v>
      </c>
      <c r="V577" s="104">
        <f t="shared" si="86"/>
        <v>2107.09261628104</v>
      </c>
    </row>
    <row r="578" spans="2:22" ht="12.75">
      <c r="B578" s="9">
        <v>191</v>
      </c>
      <c r="C578" s="9" t="s">
        <v>37</v>
      </c>
      <c r="D578" s="10">
        <f t="shared" si="87"/>
        <v>0</v>
      </c>
      <c r="E578" s="10">
        <f t="shared" si="88"/>
        <v>0</v>
      </c>
      <c r="F578" s="10">
        <f t="shared" si="89"/>
        <v>0</v>
      </c>
      <c r="G578" s="11">
        <f t="shared" si="90"/>
        <v>0</v>
      </c>
      <c r="I578" s="92">
        <f t="shared" si="95"/>
      </c>
      <c r="L578" s="9">
        <v>191</v>
      </c>
      <c r="M578" s="9" t="s">
        <v>37</v>
      </c>
      <c r="N578" s="10">
        <f t="shared" si="96"/>
        <v>2107.09261628104</v>
      </c>
      <c r="O578" s="10">
        <f t="shared" si="91"/>
        <v>245.36089270101365</v>
      </c>
      <c r="P578" s="10">
        <f t="shared" si="92"/>
        <v>1861.7317235800265</v>
      </c>
      <c r="Q578" s="11">
        <f t="shared" si="94"/>
        <v>115911.49677290654</v>
      </c>
      <c r="R578" s="9"/>
      <c r="S578" s="92">
        <f t="shared" si="93"/>
        <v>191</v>
      </c>
      <c r="V578" s="104">
        <f t="shared" si="86"/>
        <v>2107.09261628104</v>
      </c>
    </row>
    <row r="579" spans="2:22" ht="12.75">
      <c r="B579" s="9">
        <v>192</v>
      </c>
      <c r="C579" s="9" t="s">
        <v>38</v>
      </c>
      <c r="D579" s="10">
        <f t="shared" si="87"/>
        <v>0</v>
      </c>
      <c r="E579" s="10">
        <f t="shared" si="88"/>
        <v>0</v>
      </c>
      <c r="F579" s="10">
        <f t="shared" si="89"/>
        <v>0</v>
      </c>
      <c r="G579" s="11">
        <f t="shared" si="90"/>
        <v>0</v>
      </c>
      <c r="I579" s="92">
        <f t="shared" si="95"/>
      </c>
      <c r="L579" s="9">
        <v>192</v>
      </c>
      <c r="M579" s="9" t="s">
        <v>38</v>
      </c>
      <c r="N579" s="10">
        <f t="shared" si="96"/>
        <v>2107.09261628104</v>
      </c>
      <c r="O579" s="10">
        <f t="shared" si="91"/>
        <v>241.4822849435553</v>
      </c>
      <c r="P579" s="10">
        <f t="shared" si="92"/>
        <v>1865.610331337485</v>
      </c>
      <c r="Q579" s="11">
        <f t="shared" si="94"/>
        <v>114045.88644156905</v>
      </c>
      <c r="R579" s="9"/>
      <c r="S579" s="92">
        <f t="shared" si="93"/>
        <v>192</v>
      </c>
      <c r="V579" s="104">
        <f t="shared" si="86"/>
        <v>3240.7275402639452</v>
      </c>
    </row>
    <row r="580" spans="2:23" ht="12.75">
      <c r="B580" s="84">
        <v>193</v>
      </c>
      <c r="C580" s="84" t="s">
        <v>27</v>
      </c>
      <c r="D580" s="85">
        <f t="shared" si="87"/>
        <v>0</v>
      </c>
      <c r="E580" s="85">
        <f t="shared" si="88"/>
        <v>0</v>
      </c>
      <c r="F580" s="85">
        <f t="shared" si="89"/>
        <v>0</v>
      </c>
      <c r="G580" s="86">
        <f t="shared" si="90"/>
        <v>0</v>
      </c>
      <c r="I580" s="92">
        <f t="shared" si="95"/>
      </c>
      <c r="J580" s="128">
        <f>(SUM(D568:D579)+J568)</f>
        <v>53859.308983714676</v>
      </c>
      <c r="K580">
        <v>16</v>
      </c>
      <c r="L580" s="84">
        <v>193</v>
      </c>
      <c r="M580" s="84" t="s">
        <v>27</v>
      </c>
      <c r="N580" s="85">
        <f t="shared" si="96"/>
        <v>2107.09261628104</v>
      </c>
      <c r="O580" s="85">
        <f t="shared" si="91"/>
        <v>237.59559675326884</v>
      </c>
      <c r="P580" s="85">
        <f t="shared" si="92"/>
        <v>1869.4970195277713</v>
      </c>
      <c r="Q580" s="86">
        <f t="shared" si="94"/>
        <v>111042.75449805838</v>
      </c>
      <c r="R580" s="68">
        <f>IF((Q579-P580)&gt;Energie!S25,Energie!S25,(Q579-P580))</f>
        <v>1133.6349239829053</v>
      </c>
      <c r="S580" s="92">
        <f t="shared" si="93"/>
        <v>193</v>
      </c>
      <c r="T580" s="128"/>
      <c r="U580" s="128">
        <f>(SUM(N568:N579)+R580+U568)</f>
        <v>363362.0159476226</v>
      </c>
      <c r="V580" s="104">
        <f aca="true" t="shared" si="97" ref="V580:V643">SUM(D580+N580+R581)</f>
        <v>2107.09261628104</v>
      </c>
      <c r="W580" s="104">
        <f>SUM(V568:V579)</f>
        <v>26418.74631935538</v>
      </c>
    </row>
    <row r="581" spans="2:22" ht="12.75">
      <c r="B581" s="9">
        <v>194</v>
      </c>
      <c r="C581" s="9" t="s">
        <v>28</v>
      </c>
      <c r="D581" s="10">
        <f aca="true" t="shared" si="98" ref="D581:D644">IF(G580&lt;D$376,G580+E581,D$376)</f>
        <v>0</v>
      </c>
      <c r="E581" s="10">
        <f aca="true" t="shared" si="99" ref="E581:E644">IF(G580/100*E$376/12&lt;0,0,G580/100*E$376/12)</f>
        <v>0</v>
      </c>
      <c r="F581" s="10">
        <f aca="true" t="shared" si="100" ref="F581:F644">D581-E581</f>
        <v>0</v>
      </c>
      <c r="G581" s="11">
        <f aca="true" t="shared" si="101" ref="G581:G644">G580-F581-H580</f>
        <v>0</v>
      </c>
      <c r="I581" s="92">
        <f t="shared" si="95"/>
      </c>
      <c r="L581" s="9">
        <v>194</v>
      </c>
      <c r="M581" s="9" t="s">
        <v>28</v>
      </c>
      <c r="N581" s="10">
        <f t="shared" si="96"/>
        <v>2107.09261628104</v>
      </c>
      <c r="O581" s="10">
        <f aca="true" t="shared" si="102" ref="O581:O644">IF(Q580/100*O$376/12&lt;0,0,Q580/100*O$376/12)</f>
        <v>231.33907187095494</v>
      </c>
      <c r="P581" s="10">
        <f aca="true" t="shared" si="103" ref="P581:P644">N581-O581</f>
        <v>1875.7535444100852</v>
      </c>
      <c r="Q581" s="11">
        <f t="shared" si="94"/>
        <v>109167.0009536483</v>
      </c>
      <c r="R581" s="9"/>
      <c r="S581" s="92">
        <f t="shared" si="93"/>
        <v>194</v>
      </c>
      <c r="V581" s="104">
        <f t="shared" si="97"/>
        <v>2107.09261628104</v>
      </c>
    </row>
    <row r="582" spans="2:22" ht="12.75">
      <c r="B582" s="9">
        <v>195</v>
      </c>
      <c r="C582" s="9" t="s">
        <v>29</v>
      </c>
      <c r="D582" s="10">
        <f t="shared" si="98"/>
        <v>0</v>
      </c>
      <c r="E582" s="10">
        <f t="shared" si="99"/>
        <v>0</v>
      </c>
      <c r="F582" s="10">
        <f t="shared" si="100"/>
        <v>0</v>
      </c>
      <c r="G582" s="11">
        <f t="shared" si="101"/>
        <v>0</v>
      </c>
      <c r="I582" s="92">
        <f t="shared" si="95"/>
      </c>
      <c r="L582" s="9">
        <v>195</v>
      </c>
      <c r="M582" s="9" t="s">
        <v>29</v>
      </c>
      <c r="N582" s="10">
        <f t="shared" si="96"/>
        <v>2107.09261628104</v>
      </c>
      <c r="O582" s="10">
        <f t="shared" si="102"/>
        <v>227.43125198676728</v>
      </c>
      <c r="P582" s="10">
        <f t="shared" si="103"/>
        <v>1879.661364294273</v>
      </c>
      <c r="Q582" s="11">
        <f t="shared" si="94"/>
        <v>107287.33958935403</v>
      </c>
      <c r="R582" s="9"/>
      <c r="S582" s="92">
        <f aca="true" t="shared" si="104" ref="S582:S645">IF(O582&gt;0,L582,"")</f>
        <v>195</v>
      </c>
      <c r="V582" s="104">
        <f t="shared" si="97"/>
        <v>2107.09261628104</v>
      </c>
    </row>
    <row r="583" spans="2:22" ht="12.75">
      <c r="B583" s="9">
        <v>196</v>
      </c>
      <c r="C583" s="9" t="s">
        <v>30</v>
      </c>
      <c r="D583" s="10">
        <f t="shared" si="98"/>
        <v>0</v>
      </c>
      <c r="E583" s="10">
        <f t="shared" si="99"/>
        <v>0</v>
      </c>
      <c r="F583" s="10">
        <f t="shared" si="100"/>
        <v>0</v>
      </c>
      <c r="G583" s="11">
        <f t="shared" si="101"/>
        <v>0</v>
      </c>
      <c r="I583" s="92">
        <f t="shared" si="95"/>
      </c>
      <c r="L583" s="9">
        <v>196</v>
      </c>
      <c r="M583" s="9" t="s">
        <v>30</v>
      </c>
      <c r="N583" s="10">
        <f t="shared" si="96"/>
        <v>2107.09261628104</v>
      </c>
      <c r="O583" s="10">
        <f t="shared" si="102"/>
        <v>223.5152908111542</v>
      </c>
      <c r="P583" s="10">
        <f t="shared" si="103"/>
        <v>1883.5773254698859</v>
      </c>
      <c r="Q583" s="11">
        <f aca="true" t="shared" si="105" ref="Q583:Q646">Q582-P583-R583</f>
        <v>105403.76226388414</v>
      </c>
      <c r="R583" s="9"/>
      <c r="S583" s="92">
        <f t="shared" si="104"/>
        <v>196</v>
      </c>
      <c r="V583" s="104">
        <f t="shared" si="97"/>
        <v>2107.09261628104</v>
      </c>
    </row>
    <row r="584" spans="2:22" ht="12.75">
      <c r="B584" s="9">
        <v>197</v>
      </c>
      <c r="C584" s="9" t="s">
        <v>31</v>
      </c>
      <c r="D584" s="10">
        <f t="shared" si="98"/>
        <v>0</v>
      </c>
      <c r="E584" s="10">
        <f t="shared" si="99"/>
        <v>0</v>
      </c>
      <c r="F584" s="10">
        <f t="shared" si="100"/>
        <v>0</v>
      </c>
      <c r="G584" s="11">
        <f t="shared" si="101"/>
        <v>0</v>
      </c>
      <c r="I584" s="92">
        <f t="shared" si="95"/>
      </c>
      <c r="L584" s="9">
        <v>197</v>
      </c>
      <c r="M584" s="9" t="s">
        <v>31</v>
      </c>
      <c r="N584" s="10">
        <f>IF(Q583&lt;(N$376+D$376),Q583+O584,(N$376+D$376))</f>
        <v>2107.09261628104</v>
      </c>
      <c r="O584" s="10">
        <f t="shared" si="102"/>
        <v>219.59117138309196</v>
      </c>
      <c r="P584" s="10">
        <f t="shared" si="103"/>
        <v>1887.5014448979482</v>
      </c>
      <c r="Q584" s="11">
        <f t="shared" si="105"/>
        <v>103516.2608189862</v>
      </c>
      <c r="R584" s="9"/>
      <c r="S584" s="92">
        <f t="shared" si="104"/>
        <v>197</v>
      </c>
      <c r="V584" s="104">
        <f t="shared" si="97"/>
        <v>2107.09261628104</v>
      </c>
    </row>
    <row r="585" spans="2:22" ht="12.75">
      <c r="B585" s="9">
        <v>198</v>
      </c>
      <c r="C585" s="9" t="s">
        <v>32</v>
      </c>
      <c r="D585" s="10">
        <f t="shared" si="98"/>
        <v>0</v>
      </c>
      <c r="E585" s="10">
        <f t="shared" si="99"/>
        <v>0</v>
      </c>
      <c r="F585" s="10">
        <f t="shared" si="100"/>
        <v>0</v>
      </c>
      <c r="G585" s="11">
        <f t="shared" si="101"/>
        <v>0</v>
      </c>
      <c r="I585" s="92">
        <f t="shared" si="95"/>
      </c>
      <c r="L585" s="9">
        <v>198</v>
      </c>
      <c r="M585" s="9" t="s">
        <v>32</v>
      </c>
      <c r="N585" s="10">
        <f aca="true" t="shared" si="106" ref="N585:N612">IF(Q584&lt;(N$376+D$376),Q584+O585,(N$376+D$376))</f>
        <v>2107.09261628104</v>
      </c>
      <c r="O585" s="10">
        <f t="shared" si="102"/>
        <v>215.65887670622124</v>
      </c>
      <c r="P585" s="10">
        <f t="shared" si="103"/>
        <v>1891.433739574819</v>
      </c>
      <c r="Q585" s="11">
        <f t="shared" si="105"/>
        <v>101624.82707941138</v>
      </c>
      <c r="R585" s="9"/>
      <c r="S585" s="92">
        <f t="shared" si="104"/>
        <v>198</v>
      </c>
      <c r="V585" s="104">
        <f t="shared" si="97"/>
        <v>2107.09261628104</v>
      </c>
    </row>
    <row r="586" spans="2:22" ht="12.75">
      <c r="B586" s="9">
        <v>199</v>
      </c>
      <c r="C586" s="9" t="s">
        <v>33</v>
      </c>
      <c r="D586" s="10">
        <f t="shared" si="98"/>
        <v>0</v>
      </c>
      <c r="E586" s="10">
        <f t="shared" si="99"/>
        <v>0</v>
      </c>
      <c r="F586" s="10">
        <f t="shared" si="100"/>
        <v>0</v>
      </c>
      <c r="G586" s="11">
        <f t="shared" si="101"/>
        <v>0</v>
      </c>
      <c r="I586" s="92">
        <f t="shared" si="95"/>
      </c>
      <c r="L586" s="9">
        <v>199</v>
      </c>
      <c r="M586" s="9" t="s">
        <v>33</v>
      </c>
      <c r="N586" s="10">
        <f t="shared" si="106"/>
        <v>2107.09261628104</v>
      </c>
      <c r="O586" s="10">
        <f t="shared" si="102"/>
        <v>211.7183897487737</v>
      </c>
      <c r="P586" s="10">
        <f t="shared" si="103"/>
        <v>1895.3742265322664</v>
      </c>
      <c r="Q586" s="11">
        <f t="shared" si="105"/>
        <v>99729.45285287911</v>
      </c>
      <c r="R586" s="9"/>
      <c r="S586" s="92">
        <f t="shared" si="104"/>
        <v>199</v>
      </c>
      <c r="V586" s="104">
        <f t="shared" si="97"/>
        <v>2107.09261628104</v>
      </c>
    </row>
    <row r="587" spans="2:22" ht="12.75">
      <c r="B587" s="9">
        <v>200</v>
      </c>
      <c r="C587" s="9" t="s">
        <v>34</v>
      </c>
      <c r="D587" s="10">
        <f t="shared" si="98"/>
        <v>0</v>
      </c>
      <c r="E587" s="10">
        <f t="shared" si="99"/>
        <v>0</v>
      </c>
      <c r="F587" s="10">
        <f t="shared" si="100"/>
        <v>0</v>
      </c>
      <c r="G587" s="11">
        <f t="shared" si="101"/>
        <v>0</v>
      </c>
      <c r="I587" s="92">
        <f t="shared" si="95"/>
      </c>
      <c r="L587" s="9">
        <v>200</v>
      </c>
      <c r="M587" s="9" t="s">
        <v>34</v>
      </c>
      <c r="N587" s="10">
        <f t="shared" si="106"/>
        <v>2107.09261628104</v>
      </c>
      <c r="O587" s="10">
        <f t="shared" si="102"/>
        <v>207.76969344349814</v>
      </c>
      <c r="P587" s="10">
        <f t="shared" si="103"/>
        <v>1899.322922837542</v>
      </c>
      <c r="Q587" s="11">
        <f t="shared" si="105"/>
        <v>97830.12993004157</v>
      </c>
      <c r="R587" s="9"/>
      <c r="S587" s="92">
        <f t="shared" si="104"/>
        <v>200</v>
      </c>
      <c r="V587" s="104">
        <f t="shared" si="97"/>
        <v>2107.09261628104</v>
      </c>
    </row>
    <row r="588" spans="2:22" ht="12.75">
      <c r="B588" s="9">
        <v>201</v>
      </c>
      <c r="C588" s="9" t="s">
        <v>35</v>
      </c>
      <c r="D588" s="10">
        <f t="shared" si="98"/>
        <v>0</v>
      </c>
      <c r="E588" s="10">
        <f t="shared" si="99"/>
        <v>0</v>
      </c>
      <c r="F588" s="10">
        <f t="shared" si="100"/>
        <v>0</v>
      </c>
      <c r="G588" s="11">
        <f t="shared" si="101"/>
        <v>0</v>
      </c>
      <c r="I588" s="92">
        <f t="shared" si="95"/>
      </c>
      <c r="L588" s="9">
        <v>201</v>
      </c>
      <c r="M588" s="9" t="s">
        <v>35</v>
      </c>
      <c r="N588" s="10">
        <f t="shared" si="106"/>
        <v>2107.09261628104</v>
      </c>
      <c r="O588" s="10">
        <f t="shared" si="102"/>
        <v>203.8127706875866</v>
      </c>
      <c r="P588" s="10">
        <f t="shared" si="103"/>
        <v>1903.2798455934535</v>
      </c>
      <c r="Q588" s="11">
        <f t="shared" si="105"/>
        <v>95926.85008444812</v>
      </c>
      <c r="R588" s="9"/>
      <c r="S588" s="92">
        <f t="shared" si="104"/>
        <v>201</v>
      </c>
      <c r="V588" s="104">
        <f t="shared" si="97"/>
        <v>2107.09261628104</v>
      </c>
    </row>
    <row r="589" spans="2:22" ht="12.75">
      <c r="B589" s="9">
        <v>202</v>
      </c>
      <c r="C589" s="9" t="s">
        <v>36</v>
      </c>
      <c r="D589" s="10">
        <f t="shared" si="98"/>
        <v>0</v>
      </c>
      <c r="E589" s="10">
        <f t="shared" si="99"/>
        <v>0</v>
      </c>
      <c r="F589" s="10">
        <f t="shared" si="100"/>
        <v>0</v>
      </c>
      <c r="G589" s="11">
        <f t="shared" si="101"/>
        <v>0</v>
      </c>
      <c r="I589" s="92">
        <f t="shared" si="95"/>
      </c>
      <c r="L589" s="9">
        <v>202</v>
      </c>
      <c r="M589" s="9" t="s">
        <v>36</v>
      </c>
      <c r="N589" s="10">
        <f t="shared" si="106"/>
        <v>2107.09261628104</v>
      </c>
      <c r="O589" s="10">
        <f t="shared" si="102"/>
        <v>199.84760434260025</v>
      </c>
      <c r="P589" s="10">
        <f t="shared" si="103"/>
        <v>1907.2450119384398</v>
      </c>
      <c r="Q589" s="11">
        <f t="shared" si="105"/>
        <v>94019.60507250967</v>
      </c>
      <c r="R589" s="9"/>
      <c r="S589" s="92">
        <f t="shared" si="104"/>
        <v>202</v>
      </c>
      <c r="V589" s="104">
        <f t="shared" si="97"/>
        <v>2107.09261628104</v>
      </c>
    </row>
    <row r="590" spans="2:22" ht="12.75">
      <c r="B590" s="9">
        <v>203</v>
      </c>
      <c r="C590" s="9" t="s">
        <v>37</v>
      </c>
      <c r="D590" s="10">
        <f t="shared" si="98"/>
        <v>0</v>
      </c>
      <c r="E590" s="10">
        <f t="shared" si="99"/>
        <v>0</v>
      </c>
      <c r="F590" s="10">
        <f t="shared" si="100"/>
        <v>0</v>
      </c>
      <c r="G590" s="11">
        <f t="shared" si="101"/>
        <v>0</v>
      </c>
      <c r="I590" s="92">
        <f t="shared" si="95"/>
      </c>
      <c r="L590" s="9">
        <v>203</v>
      </c>
      <c r="M590" s="9" t="s">
        <v>37</v>
      </c>
      <c r="N590" s="10">
        <f t="shared" si="106"/>
        <v>2107.09261628104</v>
      </c>
      <c r="O590" s="10">
        <f t="shared" si="102"/>
        <v>195.87417723439515</v>
      </c>
      <c r="P590" s="10">
        <f t="shared" si="103"/>
        <v>1911.218439046645</v>
      </c>
      <c r="Q590" s="11">
        <f t="shared" si="105"/>
        <v>92108.38663346303</v>
      </c>
      <c r="R590" s="9"/>
      <c r="S590" s="92">
        <f t="shared" si="104"/>
        <v>203</v>
      </c>
      <c r="V590" s="104">
        <f t="shared" si="97"/>
        <v>2107.09261628104</v>
      </c>
    </row>
    <row r="591" spans="2:22" ht="12.75">
      <c r="B591" s="9">
        <v>204</v>
      </c>
      <c r="C591" s="9" t="s">
        <v>38</v>
      </c>
      <c r="D591" s="10">
        <f t="shared" si="98"/>
        <v>0</v>
      </c>
      <c r="E591" s="10">
        <f t="shared" si="99"/>
        <v>0</v>
      </c>
      <c r="F591" s="10">
        <f t="shared" si="100"/>
        <v>0</v>
      </c>
      <c r="G591" s="11">
        <f t="shared" si="101"/>
        <v>0</v>
      </c>
      <c r="I591" s="92">
        <f aca="true" t="shared" si="107" ref="I591:I654">IF(E591&gt;0,B591,"")</f>
      </c>
      <c r="L591" s="9">
        <v>204</v>
      </c>
      <c r="M591" s="9" t="s">
        <v>38</v>
      </c>
      <c r="N591" s="10">
        <f t="shared" si="106"/>
        <v>2107.09261628104</v>
      </c>
      <c r="O591" s="10">
        <f t="shared" si="102"/>
        <v>191.89247215304798</v>
      </c>
      <c r="P591" s="10">
        <f t="shared" si="103"/>
        <v>1915.2001441279922</v>
      </c>
      <c r="Q591" s="11">
        <f t="shared" si="105"/>
        <v>90193.18648933504</v>
      </c>
      <c r="R591" s="9"/>
      <c r="S591" s="92">
        <f t="shared" si="104"/>
        <v>204</v>
      </c>
      <c r="V591" s="104">
        <f t="shared" si="97"/>
        <v>3300.2535644147297</v>
      </c>
    </row>
    <row r="592" spans="2:23" ht="12.75">
      <c r="B592" s="84">
        <v>205</v>
      </c>
      <c r="C592" s="84" t="s">
        <v>27</v>
      </c>
      <c r="D592" s="85">
        <f t="shared" si="98"/>
        <v>0</v>
      </c>
      <c r="E592" s="85">
        <f t="shared" si="99"/>
        <v>0</v>
      </c>
      <c r="F592" s="85">
        <f t="shared" si="100"/>
        <v>0</v>
      </c>
      <c r="G592" s="86">
        <f t="shared" si="101"/>
        <v>0</v>
      </c>
      <c r="I592" s="92">
        <f t="shared" si="107"/>
      </c>
      <c r="J592" s="128">
        <f>(SUM(D580:D591)+J580)</f>
        <v>53859.308983714676</v>
      </c>
      <c r="K592">
        <v>17</v>
      </c>
      <c r="L592" s="84">
        <v>205</v>
      </c>
      <c r="M592" s="84" t="s">
        <v>27</v>
      </c>
      <c r="N592" s="85">
        <f t="shared" si="106"/>
        <v>2107.09261628104</v>
      </c>
      <c r="O592" s="85">
        <f t="shared" si="102"/>
        <v>187.90247185278133</v>
      </c>
      <c r="P592" s="85">
        <f t="shared" si="103"/>
        <v>1919.190144428259</v>
      </c>
      <c r="Q592" s="86">
        <f t="shared" si="105"/>
        <v>87080.8353967731</v>
      </c>
      <c r="R592" s="68">
        <f>IF((Q591-P592)&gt;Energie!S26,Energie!S26,(Q591-P592))</f>
        <v>1193.1609481336895</v>
      </c>
      <c r="S592" s="92">
        <f t="shared" si="104"/>
        <v>205</v>
      </c>
      <c r="T592" s="128"/>
      <c r="U592" s="128">
        <f>(SUM(N580:N591)+R592+U580)</f>
        <v>389840.28829112876</v>
      </c>
      <c r="V592" s="104">
        <f t="shared" si="97"/>
        <v>2107.09261628104</v>
      </c>
      <c r="W592" s="104">
        <f>SUM(V580:V591)</f>
        <v>26478.272343506163</v>
      </c>
    </row>
    <row r="593" spans="2:22" ht="12.75">
      <c r="B593" s="9">
        <v>206</v>
      </c>
      <c r="C593" s="9" t="s">
        <v>28</v>
      </c>
      <c r="D593" s="10">
        <f t="shared" si="98"/>
        <v>0</v>
      </c>
      <c r="E593" s="10">
        <f t="shared" si="99"/>
        <v>0</v>
      </c>
      <c r="F593" s="10">
        <f t="shared" si="100"/>
        <v>0</v>
      </c>
      <c r="G593" s="11">
        <f t="shared" si="101"/>
        <v>0</v>
      </c>
      <c r="I593" s="92">
        <f t="shared" si="107"/>
      </c>
      <c r="L593" s="9">
        <v>206</v>
      </c>
      <c r="M593" s="9" t="s">
        <v>28</v>
      </c>
      <c r="N593" s="10">
        <f t="shared" si="106"/>
        <v>2107.09261628104</v>
      </c>
      <c r="O593" s="12">
        <f t="shared" si="102"/>
        <v>181.4184070766106</v>
      </c>
      <c r="P593" s="10">
        <f t="shared" si="103"/>
        <v>1925.6742092044296</v>
      </c>
      <c r="Q593" s="11">
        <f t="shared" si="105"/>
        <v>85155.16118756866</v>
      </c>
      <c r="R593" s="9"/>
      <c r="S593" s="92">
        <f t="shared" si="104"/>
        <v>206</v>
      </c>
      <c r="V593" s="104">
        <f t="shared" si="97"/>
        <v>2107.09261628104</v>
      </c>
    </row>
    <row r="594" spans="2:22" ht="12.75">
      <c r="B594" s="9">
        <v>207</v>
      </c>
      <c r="C594" s="9" t="s">
        <v>29</v>
      </c>
      <c r="D594" s="10">
        <f t="shared" si="98"/>
        <v>0</v>
      </c>
      <c r="E594" s="10">
        <f t="shared" si="99"/>
        <v>0</v>
      </c>
      <c r="F594" s="10">
        <f t="shared" si="100"/>
        <v>0</v>
      </c>
      <c r="G594" s="11">
        <f t="shared" si="101"/>
        <v>0</v>
      </c>
      <c r="I594" s="92">
        <f t="shared" si="107"/>
      </c>
      <c r="L594" s="9">
        <v>207</v>
      </c>
      <c r="M594" s="9" t="s">
        <v>29</v>
      </c>
      <c r="N594" s="10">
        <f t="shared" si="106"/>
        <v>2107.09261628104</v>
      </c>
      <c r="O594" s="10">
        <f t="shared" si="102"/>
        <v>177.4065858074347</v>
      </c>
      <c r="P594" s="10">
        <f t="shared" si="103"/>
        <v>1929.6860304736053</v>
      </c>
      <c r="Q594" s="11">
        <f t="shared" si="105"/>
        <v>83225.47515709506</v>
      </c>
      <c r="R594" s="9"/>
      <c r="S594" s="92">
        <f t="shared" si="104"/>
        <v>207</v>
      </c>
      <c r="V594" s="104">
        <f t="shared" si="97"/>
        <v>2107.09261628104</v>
      </c>
    </row>
    <row r="595" spans="2:22" ht="12.75">
      <c r="B595" s="9">
        <v>208</v>
      </c>
      <c r="C595" s="9" t="s">
        <v>30</v>
      </c>
      <c r="D595" s="10">
        <f t="shared" si="98"/>
        <v>0</v>
      </c>
      <c r="E595" s="10">
        <f t="shared" si="99"/>
        <v>0</v>
      </c>
      <c r="F595" s="10">
        <f t="shared" si="100"/>
        <v>0</v>
      </c>
      <c r="G595" s="11">
        <f t="shared" si="101"/>
        <v>0</v>
      </c>
      <c r="I595" s="92">
        <f t="shared" si="107"/>
      </c>
      <c r="L595" s="9">
        <v>208</v>
      </c>
      <c r="M595" s="9" t="s">
        <v>30</v>
      </c>
      <c r="N595" s="10">
        <f t="shared" si="106"/>
        <v>2107.09261628104</v>
      </c>
      <c r="O595" s="10">
        <f t="shared" si="102"/>
        <v>173.38640657728138</v>
      </c>
      <c r="P595" s="10">
        <f t="shared" si="103"/>
        <v>1933.7062097037588</v>
      </c>
      <c r="Q595" s="11">
        <f t="shared" si="105"/>
        <v>81291.7689473913</v>
      </c>
      <c r="R595" s="9"/>
      <c r="S595" s="92">
        <f t="shared" si="104"/>
        <v>208</v>
      </c>
      <c r="V595" s="104">
        <f t="shared" si="97"/>
        <v>2107.09261628104</v>
      </c>
    </row>
    <row r="596" spans="2:22" ht="12.75">
      <c r="B596" s="9">
        <v>209</v>
      </c>
      <c r="C596" s="9" t="s">
        <v>31</v>
      </c>
      <c r="D596" s="10">
        <f t="shared" si="98"/>
        <v>0</v>
      </c>
      <c r="E596" s="10">
        <f t="shared" si="99"/>
        <v>0</v>
      </c>
      <c r="F596" s="10">
        <f t="shared" si="100"/>
        <v>0</v>
      </c>
      <c r="G596" s="11">
        <f t="shared" si="101"/>
        <v>0</v>
      </c>
      <c r="I596" s="92">
        <f t="shared" si="107"/>
      </c>
      <c r="L596" s="9">
        <v>209</v>
      </c>
      <c r="M596" s="9" t="s">
        <v>31</v>
      </c>
      <c r="N596" s="10">
        <f t="shared" si="106"/>
        <v>2107.09261628104</v>
      </c>
      <c r="O596" s="10">
        <f t="shared" si="102"/>
        <v>169.35785197373187</v>
      </c>
      <c r="P596" s="10">
        <f t="shared" si="103"/>
        <v>1937.7347643073083</v>
      </c>
      <c r="Q596" s="11">
        <f t="shared" si="105"/>
        <v>79354.03418308399</v>
      </c>
      <c r="R596" s="9"/>
      <c r="S596" s="92">
        <f t="shared" si="104"/>
        <v>209</v>
      </c>
      <c r="V596" s="104">
        <f t="shared" si="97"/>
        <v>2107.09261628104</v>
      </c>
    </row>
    <row r="597" spans="2:22" ht="12.75">
      <c r="B597" s="9">
        <v>210</v>
      </c>
      <c r="C597" s="9" t="s">
        <v>32</v>
      </c>
      <c r="D597" s="10">
        <f t="shared" si="98"/>
        <v>0</v>
      </c>
      <c r="E597" s="10">
        <f t="shared" si="99"/>
        <v>0</v>
      </c>
      <c r="F597" s="10">
        <f t="shared" si="100"/>
        <v>0</v>
      </c>
      <c r="G597" s="11">
        <f t="shared" si="101"/>
        <v>0</v>
      </c>
      <c r="I597" s="92">
        <f t="shared" si="107"/>
      </c>
      <c r="L597" s="9">
        <v>210</v>
      </c>
      <c r="M597" s="9" t="s">
        <v>32</v>
      </c>
      <c r="N597" s="10">
        <f t="shared" si="106"/>
        <v>2107.09261628104</v>
      </c>
      <c r="O597" s="10">
        <f t="shared" si="102"/>
        <v>165.32090454809165</v>
      </c>
      <c r="P597" s="10">
        <f t="shared" si="103"/>
        <v>1941.7717117329485</v>
      </c>
      <c r="Q597" s="11">
        <f t="shared" si="105"/>
        <v>77412.26247135104</v>
      </c>
      <c r="R597" s="9"/>
      <c r="S597" s="92">
        <f t="shared" si="104"/>
        <v>210</v>
      </c>
      <c r="V597" s="104">
        <f t="shared" si="97"/>
        <v>2107.09261628104</v>
      </c>
    </row>
    <row r="598" spans="2:22" ht="12.75">
      <c r="B598" s="9">
        <v>211</v>
      </c>
      <c r="C598" s="9" t="s">
        <v>33</v>
      </c>
      <c r="D598" s="10">
        <f t="shared" si="98"/>
        <v>0</v>
      </c>
      <c r="E598" s="10">
        <f t="shared" si="99"/>
        <v>0</v>
      </c>
      <c r="F598" s="10">
        <f t="shared" si="100"/>
        <v>0</v>
      </c>
      <c r="G598" s="11">
        <f t="shared" si="101"/>
        <v>0</v>
      </c>
      <c r="I598" s="92">
        <f t="shared" si="107"/>
      </c>
      <c r="L598" s="9">
        <v>211</v>
      </c>
      <c r="M598" s="9" t="s">
        <v>33</v>
      </c>
      <c r="N598" s="10">
        <f t="shared" si="106"/>
        <v>2107.09261628104</v>
      </c>
      <c r="O598" s="10">
        <f t="shared" si="102"/>
        <v>161.2755468153147</v>
      </c>
      <c r="P598" s="10">
        <f t="shared" si="103"/>
        <v>1945.8170694657254</v>
      </c>
      <c r="Q598" s="11">
        <f t="shared" si="105"/>
        <v>75466.44540188531</v>
      </c>
      <c r="R598" s="9"/>
      <c r="S598" s="92">
        <f t="shared" si="104"/>
        <v>211</v>
      </c>
      <c r="V598" s="104">
        <f t="shared" si="97"/>
        <v>2107.09261628104</v>
      </c>
    </row>
    <row r="599" spans="2:22" ht="12.75">
      <c r="B599" s="9">
        <v>212</v>
      </c>
      <c r="C599" s="9" t="s">
        <v>34</v>
      </c>
      <c r="D599" s="10">
        <f t="shared" si="98"/>
        <v>0</v>
      </c>
      <c r="E599" s="10">
        <f t="shared" si="99"/>
        <v>0</v>
      </c>
      <c r="F599" s="10">
        <f t="shared" si="100"/>
        <v>0</v>
      </c>
      <c r="G599" s="11">
        <f t="shared" si="101"/>
        <v>0</v>
      </c>
      <c r="I599" s="92">
        <f t="shared" si="107"/>
      </c>
      <c r="L599" s="9">
        <v>212</v>
      </c>
      <c r="M599" s="9" t="s">
        <v>34</v>
      </c>
      <c r="N599" s="10">
        <f t="shared" si="106"/>
        <v>2107.09261628104</v>
      </c>
      <c r="O599" s="10">
        <f t="shared" si="102"/>
        <v>157.22176125392772</v>
      </c>
      <c r="P599" s="10">
        <f t="shared" si="103"/>
        <v>1949.8708550271124</v>
      </c>
      <c r="Q599" s="11">
        <f t="shared" si="105"/>
        <v>73516.5745468582</v>
      </c>
      <c r="R599" s="9"/>
      <c r="S599" s="92">
        <f t="shared" si="104"/>
        <v>212</v>
      </c>
      <c r="V599" s="104">
        <f t="shared" si="97"/>
        <v>2107.09261628104</v>
      </c>
    </row>
    <row r="600" spans="2:22" ht="12.75">
      <c r="B600" s="9">
        <v>213</v>
      </c>
      <c r="C600" s="9" t="s">
        <v>35</v>
      </c>
      <c r="D600" s="10">
        <f t="shared" si="98"/>
        <v>0</v>
      </c>
      <c r="E600" s="10">
        <f t="shared" si="99"/>
        <v>0</v>
      </c>
      <c r="F600" s="10">
        <f t="shared" si="100"/>
        <v>0</v>
      </c>
      <c r="G600" s="11">
        <f t="shared" si="101"/>
        <v>0</v>
      </c>
      <c r="I600" s="92">
        <f t="shared" si="107"/>
      </c>
      <c r="L600" s="9">
        <v>213</v>
      </c>
      <c r="M600" s="9" t="s">
        <v>35</v>
      </c>
      <c r="N600" s="10">
        <f t="shared" si="106"/>
        <v>2107.09261628104</v>
      </c>
      <c r="O600" s="10">
        <f t="shared" si="102"/>
        <v>153.15953030595458</v>
      </c>
      <c r="P600" s="10">
        <f t="shared" si="103"/>
        <v>1953.9330859750855</v>
      </c>
      <c r="Q600" s="11">
        <f t="shared" si="105"/>
        <v>71562.64146088311</v>
      </c>
      <c r="R600" s="9"/>
      <c r="S600" s="92">
        <f t="shared" si="104"/>
        <v>213</v>
      </c>
      <c r="V600" s="104">
        <f t="shared" si="97"/>
        <v>2107.09261628104</v>
      </c>
    </row>
    <row r="601" spans="2:22" ht="12.75">
      <c r="B601" s="9">
        <v>214</v>
      </c>
      <c r="C601" s="9" t="s">
        <v>36</v>
      </c>
      <c r="D601" s="10">
        <f t="shared" si="98"/>
        <v>0</v>
      </c>
      <c r="E601" s="10">
        <f t="shared" si="99"/>
        <v>0</v>
      </c>
      <c r="F601" s="10">
        <f t="shared" si="100"/>
        <v>0</v>
      </c>
      <c r="G601" s="11">
        <f t="shared" si="101"/>
        <v>0</v>
      </c>
      <c r="I601" s="92">
        <f t="shared" si="107"/>
      </c>
      <c r="L601" s="9">
        <v>214</v>
      </c>
      <c r="M601" s="9" t="s">
        <v>36</v>
      </c>
      <c r="N601" s="10">
        <f t="shared" si="106"/>
        <v>2107.09261628104</v>
      </c>
      <c r="O601" s="10">
        <f t="shared" si="102"/>
        <v>149.0888363768398</v>
      </c>
      <c r="P601" s="10">
        <f t="shared" si="103"/>
        <v>1958.0037799042004</v>
      </c>
      <c r="Q601" s="11">
        <f t="shared" si="105"/>
        <v>69604.6376809789</v>
      </c>
      <c r="R601" s="9"/>
      <c r="S601" s="92">
        <f t="shared" si="104"/>
        <v>214</v>
      </c>
      <c r="V601" s="104">
        <f t="shared" si="97"/>
        <v>2107.09261628104</v>
      </c>
    </row>
    <row r="602" spans="2:22" ht="12.75">
      <c r="B602" s="9">
        <v>215</v>
      </c>
      <c r="C602" s="9" t="s">
        <v>37</v>
      </c>
      <c r="D602" s="10">
        <f t="shared" si="98"/>
        <v>0</v>
      </c>
      <c r="E602" s="10">
        <f t="shared" si="99"/>
        <v>0</v>
      </c>
      <c r="F602" s="10">
        <f t="shared" si="100"/>
        <v>0</v>
      </c>
      <c r="G602" s="11">
        <f t="shared" si="101"/>
        <v>0</v>
      </c>
      <c r="I602" s="92">
        <f t="shared" si="107"/>
      </c>
      <c r="L602" s="9">
        <v>215</v>
      </c>
      <c r="M602" s="9" t="s">
        <v>37</v>
      </c>
      <c r="N602" s="10">
        <f t="shared" si="106"/>
        <v>2107.09261628104</v>
      </c>
      <c r="O602" s="10">
        <f t="shared" si="102"/>
        <v>145.00966183537273</v>
      </c>
      <c r="P602" s="10">
        <f t="shared" si="103"/>
        <v>1962.0829544456674</v>
      </c>
      <c r="Q602" s="11">
        <f t="shared" si="105"/>
        <v>67642.55472653324</v>
      </c>
      <c r="R602" s="9"/>
      <c r="S602" s="92">
        <f t="shared" si="104"/>
        <v>215</v>
      </c>
      <c r="V602" s="104">
        <f t="shared" si="97"/>
        <v>2107.09261628104</v>
      </c>
    </row>
    <row r="603" spans="2:22" ht="12.75">
      <c r="B603" s="9">
        <v>216</v>
      </c>
      <c r="C603" s="9" t="s">
        <v>38</v>
      </c>
      <c r="D603" s="10">
        <f t="shared" si="98"/>
        <v>0</v>
      </c>
      <c r="E603" s="10">
        <f t="shared" si="99"/>
        <v>0</v>
      </c>
      <c r="F603" s="10">
        <f t="shared" si="100"/>
        <v>0</v>
      </c>
      <c r="G603" s="11">
        <f t="shared" si="101"/>
        <v>0</v>
      </c>
      <c r="I603" s="92">
        <f t="shared" si="107"/>
      </c>
      <c r="L603" s="9">
        <v>216</v>
      </c>
      <c r="M603" s="9" t="s">
        <v>38</v>
      </c>
      <c r="N603" s="10">
        <f t="shared" si="106"/>
        <v>2107.09261628104</v>
      </c>
      <c r="O603" s="10">
        <f t="shared" si="102"/>
        <v>140.9219890136109</v>
      </c>
      <c r="P603" s="10">
        <f t="shared" si="103"/>
        <v>1966.1706272674292</v>
      </c>
      <c r="Q603" s="11">
        <f t="shared" si="105"/>
        <v>65676.38409926581</v>
      </c>
      <c r="R603" s="9"/>
      <c r="S603" s="92">
        <f t="shared" si="104"/>
        <v>216</v>
      </c>
      <c r="V603" s="104">
        <f t="shared" si="97"/>
        <v>3362.798553942327</v>
      </c>
    </row>
    <row r="604" spans="2:23" ht="12.75">
      <c r="B604" s="84">
        <v>217</v>
      </c>
      <c r="C604" s="84" t="s">
        <v>27</v>
      </c>
      <c r="D604" s="85">
        <f t="shared" si="98"/>
        <v>0</v>
      </c>
      <c r="E604" s="85">
        <f t="shared" si="99"/>
        <v>0</v>
      </c>
      <c r="F604" s="85">
        <f t="shared" si="100"/>
        <v>0</v>
      </c>
      <c r="G604" s="86">
        <f t="shared" si="101"/>
        <v>0</v>
      </c>
      <c r="I604" s="92">
        <f t="shared" si="107"/>
      </c>
      <c r="J604" s="128">
        <f>(SUM(D592:D603)+J592)</f>
        <v>53859.308983714676</v>
      </c>
      <c r="K604">
        <v>18</v>
      </c>
      <c r="L604" s="84">
        <v>217</v>
      </c>
      <c r="M604" s="84" t="s">
        <v>27</v>
      </c>
      <c r="N604" s="85">
        <f t="shared" si="106"/>
        <v>2107.09261628104</v>
      </c>
      <c r="O604" s="85">
        <f t="shared" si="102"/>
        <v>136.82580020680376</v>
      </c>
      <c r="P604" s="85">
        <f t="shared" si="103"/>
        <v>1970.2668160742364</v>
      </c>
      <c r="Q604" s="86">
        <f t="shared" si="105"/>
        <v>62450.41134553028</v>
      </c>
      <c r="R604" s="68">
        <f>IF((Q603-P604)&gt;Energie!S27,Energie!S27,(Q603-P604))</f>
        <v>1255.705937661287</v>
      </c>
      <c r="S604" s="92">
        <f t="shared" si="104"/>
        <v>217</v>
      </c>
      <c r="T604" s="128"/>
      <c r="U604" s="128">
        <f>(SUM(N592:N603)+R604+U592)</f>
        <v>416381.10562416253</v>
      </c>
      <c r="V604" s="104">
        <f t="shared" si="97"/>
        <v>2107.09261628104</v>
      </c>
      <c r="W604" s="104">
        <f>SUM(V592:V603)</f>
        <v>26540.817333033763</v>
      </c>
    </row>
    <row r="605" spans="2:22" ht="12.75">
      <c r="B605" s="9">
        <v>218</v>
      </c>
      <c r="C605" s="9" t="s">
        <v>28</v>
      </c>
      <c r="D605" s="10">
        <f t="shared" si="98"/>
        <v>0</v>
      </c>
      <c r="E605" s="10">
        <f t="shared" si="99"/>
        <v>0</v>
      </c>
      <c r="F605" s="10">
        <f t="shared" si="100"/>
        <v>0</v>
      </c>
      <c r="G605" s="11">
        <f t="shared" si="101"/>
        <v>0</v>
      </c>
      <c r="I605" s="92">
        <f t="shared" si="107"/>
      </c>
      <c r="L605" s="9">
        <v>218</v>
      </c>
      <c r="M605" s="9" t="s">
        <v>28</v>
      </c>
      <c r="N605" s="10">
        <f t="shared" si="106"/>
        <v>2107.09261628104</v>
      </c>
      <c r="O605" s="10">
        <f t="shared" si="102"/>
        <v>130.10502363652142</v>
      </c>
      <c r="P605" s="10">
        <f t="shared" si="103"/>
        <v>1976.9875926445188</v>
      </c>
      <c r="Q605" s="11">
        <f t="shared" si="105"/>
        <v>60473.42375288576</v>
      </c>
      <c r="R605" s="9"/>
      <c r="S605" s="92">
        <f t="shared" si="104"/>
        <v>218</v>
      </c>
      <c r="V605" s="104">
        <f t="shared" si="97"/>
        <v>2107.09261628104</v>
      </c>
    </row>
    <row r="606" spans="2:22" ht="12.75">
      <c r="B606" s="9">
        <v>219</v>
      </c>
      <c r="C606" s="9" t="s">
        <v>29</v>
      </c>
      <c r="D606" s="10">
        <f t="shared" si="98"/>
        <v>0</v>
      </c>
      <c r="E606" s="10">
        <f t="shared" si="99"/>
        <v>0</v>
      </c>
      <c r="F606" s="10">
        <f t="shared" si="100"/>
        <v>0</v>
      </c>
      <c r="G606" s="11">
        <f t="shared" si="101"/>
        <v>0</v>
      </c>
      <c r="I606" s="92">
        <f t="shared" si="107"/>
      </c>
      <c r="L606" s="9">
        <v>219</v>
      </c>
      <c r="M606" s="9" t="s">
        <v>29</v>
      </c>
      <c r="N606" s="10">
        <f t="shared" si="106"/>
        <v>2107.09261628104</v>
      </c>
      <c r="O606" s="10">
        <f t="shared" si="102"/>
        <v>125.98629948517868</v>
      </c>
      <c r="P606" s="10">
        <f t="shared" si="103"/>
        <v>1981.1063167958614</v>
      </c>
      <c r="Q606" s="11">
        <f t="shared" si="105"/>
        <v>58492.3174360899</v>
      </c>
      <c r="R606" s="9"/>
      <c r="S606" s="92">
        <f t="shared" si="104"/>
        <v>219</v>
      </c>
      <c r="V606" s="104">
        <f t="shared" si="97"/>
        <v>2107.09261628104</v>
      </c>
    </row>
    <row r="607" spans="2:22" ht="12.75">
      <c r="B607" s="9">
        <v>220</v>
      </c>
      <c r="C607" s="9" t="s">
        <v>30</v>
      </c>
      <c r="D607" s="10">
        <f t="shared" si="98"/>
        <v>0</v>
      </c>
      <c r="E607" s="10">
        <f t="shared" si="99"/>
        <v>0</v>
      </c>
      <c r="F607" s="10">
        <f t="shared" si="100"/>
        <v>0</v>
      </c>
      <c r="G607" s="11">
        <f t="shared" si="101"/>
        <v>0</v>
      </c>
      <c r="I607" s="92">
        <f t="shared" si="107"/>
      </c>
      <c r="L607" s="9">
        <v>220</v>
      </c>
      <c r="M607" s="9" t="s">
        <v>30</v>
      </c>
      <c r="N607" s="10">
        <f t="shared" si="106"/>
        <v>2107.09261628104</v>
      </c>
      <c r="O607" s="10">
        <f t="shared" si="102"/>
        <v>121.85899465852061</v>
      </c>
      <c r="P607" s="10">
        <f t="shared" si="103"/>
        <v>1985.2336216225194</v>
      </c>
      <c r="Q607" s="11">
        <f t="shared" si="105"/>
        <v>56507.083814467376</v>
      </c>
      <c r="R607" s="9"/>
      <c r="S607" s="92">
        <f t="shared" si="104"/>
        <v>220</v>
      </c>
      <c r="V607" s="104">
        <f t="shared" si="97"/>
        <v>2107.09261628104</v>
      </c>
    </row>
    <row r="608" spans="2:22" ht="12.75">
      <c r="B608" s="9">
        <v>221</v>
      </c>
      <c r="C608" s="9" t="s">
        <v>31</v>
      </c>
      <c r="D608" s="10">
        <f t="shared" si="98"/>
        <v>0</v>
      </c>
      <c r="E608" s="10">
        <f t="shared" si="99"/>
        <v>0</v>
      </c>
      <c r="F608" s="10">
        <f t="shared" si="100"/>
        <v>0</v>
      </c>
      <c r="G608" s="11">
        <f t="shared" si="101"/>
        <v>0</v>
      </c>
      <c r="I608" s="92">
        <f t="shared" si="107"/>
      </c>
      <c r="L608" s="9">
        <v>221</v>
      </c>
      <c r="M608" s="9" t="s">
        <v>31</v>
      </c>
      <c r="N608" s="10">
        <f t="shared" si="106"/>
        <v>2107.09261628104</v>
      </c>
      <c r="O608" s="10">
        <f t="shared" si="102"/>
        <v>117.72309128014037</v>
      </c>
      <c r="P608" s="10">
        <f t="shared" si="103"/>
        <v>1989.3695250008998</v>
      </c>
      <c r="Q608" s="11">
        <f t="shared" si="105"/>
        <v>54517.71428946648</v>
      </c>
      <c r="R608" s="9"/>
      <c r="S608" s="92">
        <f t="shared" si="104"/>
        <v>221</v>
      </c>
      <c r="V608" s="104">
        <f t="shared" si="97"/>
        <v>2107.09261628104</v>
      </c>
    </row>
    <row r="609" spans="2:22" ht="12.75">
      <c r="B609" s="9">
        <v>222</v>
      </c>
      <c r="C609" s="9" t="s">
        <v>32</v>
      </c>
      <c r="D609" s="10">
        <f t="shared" si="98"/>
        <v>0</v>
      </c>
      <c r="E609" s="10">
        <f t="shared" si="99"/>
        <v>0</v>
      </c>
      <c r="F609" s="10">
        <f t="shared" si="100"/>
        <v>0</v>
      </c>
      <c r="G609" s="11">
        <f t="shared" si="101"/>
        <v>0</v>
      </c>
      <c r="I609" s="92">
        <f t="shared" si="107"/>
      </c>
      <c r="L609" s="9">
        <v>222</v>
      </c>
      <c r="M609" s="9" t="s">
        <v>32</v>
      </c>
      <c r="N609" s="10">
        <f t="shared" si="106"/>
        <v>2107.09261628104</v>
      </c>
      <c r="O609" s="10">
        <f t="shared" si="102"/>
        <v>113.57857143638851</v>
      </c>
      <c r="P609" s="10">
        <f t="shared" si="103"/>
        <v>1993.5140448446516</v>
      </c>
      <c r="Q609" s="11">
        <f t="shared" si="105"/>
        <v>52524.200244621825</v>
      </c>
      <c r="R609" s="9"/>
      <c r="S609" s="92">
        <f t="shared" si="104"/>
        <v>222</v>
      </c>
      <c r="V609" s="104">
        <f t="shared" si="97"/>
        <v>2107.09261628104</v>
      </c>
    </row>
    <row r="610" spans="2:22" ht="12.75">
      <c r="B610" s="9">
        <v>223</v>
      </c>
      <c r="C610" s="9" t="s">
        <v>33</v>
      </c>
      <c r="D610" s="10">
        <f t="shared" si="98"/>
        <v>0</v>
      </c>
      <c r="E610" s="10">
        <f t="shared" si="99"/>
        <v>0</v>
      </c>
      <c r="F610" s="10">
        <f t="shared" si="100"/>
        <v>0</v>
      </c>
      <c r="G610" s="11">
        <f t="shared" si="101"/>
        <v>0</v>
      </c>
      <c r="I610" s="92">
        <f t="shared" si="107"/>
      </c>
      <c r="L610" s="9">
        <v>223</v>
      </c>
      <c r="M610" s="9" t="s">
        <v>33</v>
      </c>
      <c r="N610" s="10">
        <f t="shared" si="106"/>
        <v>2107.09261628104</v>
      </c>
      <c r="O610" s="10">
        <f t="shared" si="102"/>
        <v>109.42541717629547</v>
      </c>
      <c r="P610" s="10">
        <f t="shared" si="103"/>
        <v>1997.6671991047447</v>
      </c>
      <c r="Q610" s="11">
        <f t="shared" si="105"/>
        <v>50526.53304551708</v>
      </c>
      <c r="R610" s="9"/>
      <c r="S610" s="92">
        <f t="shared" si="104"/>
        <v>223</v>
      </c>
      <c r="V610" s="104">
        <f t="shared" si="97"/>
        <v>2107.09261628104</v>
      </c>
    </row>
    <row r="611" spans="2:22" ht="12.75">
      <c r="B611" s="9">
        <v>224</v>
      </c>
      <c r="C611" s="9" t="s">
        <v>34</v>
      </c>
      <c r="D611" s="10">
        <f t="shared" si="98"/>
        <v>0</v>
      </c>
      <c r="E611" s="10">
        <f t="shared" si="99"/>
        <v>0</v>
      </c>
      <c r="F611" s="10">
        <f t="shared" si="100"/>
        <v>0</v>
      </c>
      <c r="G611" s="11">
        <f t="shared" si="101"/>
        <v>0</v>
      </c>
      <c r="I611" s="92">
        <f t="shared" si="107"/>
      </c>
      <c r="L611" s="9">
        <v>224</v>
      </c>
      <c r="M611" s="9" t="s">
        <v>34</v>
      </c>
      <c r="N611" s="10">
        <f t="shared" si="106"/>
        <v>2107.09261628104</v>
      </c>
      <c r="O611" s="10">
        <f t="shared" si="102"/>
        <v>105.26361051149392</v>
      </c>
      <c r="P611" s="10">
        <f t="shared" si="103"/>
        <v>2001.8290057695463</v>
      </c>
      <c r="Q611" s="11">
        <f t="shared" si="105"/>
        <v>48524.70403974753</v>
      </c>
      <c r="R611" s="9"/>
      <c r="S611" s="92">
        <f t="shared" si="104"/>
        <v>224</v>
      </c>
      <c r="V611" s="104">
        <f t="shared" si="97"/>
        <v>2107.09261628104</v>
      </c>
    </row>
    <row r="612" spans="2:22" ht="12.75">
      <c r="B612" s="9">
        <v>225</v>
      </c>
      <c r="C612" s="9" t="s">
        <v>35</v>
      </c>
      <c r="D612" s="10">
        <f t="shared" si="98"/>
        <v>0</v>
      </c>
      <c r="E612" s="10">
        <f t="shared" si="99"/>
        <v>0</v>
      </c>
      <c r="F612" s="10">
        <f t="shared" si="100"/>
        <v>0</v>
      </c>
      <c r="G612" s="11">
        <f t="shared" si="101"/>
        <v>0</v>
      </c>
      <c r="I612" s="92">
        <f t="shared" si="107"/>
      </c>
      <c r="L612" s="9">
        <v>225</v>
      </c>
      <c r="M612" s="9" t="s">
        <v>35</v>
      </c>
      <c r="N612" s="10">
        <f t="shared" si="106"/>
        <v>2107.09261628104</v>
      </c>
      <c r="O612" s="10">
        <f t="shared" si="102"/>
        <v>101.09313341614069</v>
      </c>
      <c r="P612" s="10">
        <f t="shared" si="103"/>
        <v>2005.9994828648994</v>
      </c>
      <c r="Q612" s="11">
        <f t="shared" si="105"/>
        <v>46518.70455688263</v>
      </c>
      <c r="R612" s="9"/>
      <c r="S612" s="92">
        <f t="shared" si="104"/>
        <v>225</v>
      </c>
      <c r="V612" s="104">
        <f t="shared" si="97"/>
        <v>2107.09261628104</v>
      </c>
    </row>
    <row r="613" spans="2:22" ht="12.75">
      <c r="B613" s="9">
        <v>226</v>
      </c>
      <c r="C613" s="9" t="s">
        <v>36</v>
      </c>
      <c r="D613" s="10">
        <f t="shared" si="98"/>
        <v>0</v>
      </c>
      <c r="E613" s="10">
        <f t="shared" si="99"/>
        <v>0</v>
      </c>
      <c r="F613" s="10">
        <f t="shared" si="100"/>
        <v>0</v>
      </c>
      <c r="G613" s="11">
        <f t="shared" si="101"/>
        <v>0</v>
      </c>
      <c r="I613" s="92">
        <f t="shared" si="107"/>
      </c>
      <c r="L613" s="9">
        <v>226</v>
      </c>
      <c r="M613" s="9" t="s">
        <v>36</v>
      </c>
      <c r="N613" s="10">
        <f>IF(Q612&lt;(N$376+D$376),Q612+O613,(N$376+D$376))</f>
        <v>2107.09261628104</v>
      </c>
      <c r="O613" s="10">
        <f t="shared" si="102"/>
        <v>96.91396782683881</v>
      </c>
      <c r="P613" s="10">
        <f t="shared" si="103"/>
        <v>2010.1786484542013</v>
      </c>
      <c r="Q613" s="11">
        <f t="shared" si="105"/>
        <v>44508.525908428426</v>
      </c>
      <c r="R613" s="9"/>
      <c r="S613" s="92">
        <f t="shared" si="104"/>
        <v>226</v>
      </c>
      <c r="V613" s="104">
        <f t="shared" si="97"/>
        <v>2107.09261628104</v>
      </c>
    </row>
    <row r="614" spans="2:22" ht="12.75">
      <c r="B614" s="9">
        <v>227</v>
      </c>
      <c r="C614" s="9" t="s">
        <v>37</v>
      </c>
      <c r="D614" s="10">
        <f t="shared" si="98"/>
        <v>0</v>
      </c>
      <c r="E614" s="10">
        <f t="shared" si="99"/>
        <v>0</v>
      </c>
      <c r="F614" s="10">
        <f t="shared" si="100"/>
        <v>0</v>
      </c>
      <c r="G614" s="11">
        <f t="shared" si="101"/>
        <v>0</v>
      </c>
      <c r="I614" s="92">
        <f t="shared" si="107"/>
      </c>
      <c r="L614" s="9">
        <v>227</v>
      </c>
      <c r="M614" s="9" t="s">
        <v>37</v>
      </c>
      <c r="N614" s="10">
        <f aca="true" t="shared" si="108" ref="N614:N638">IF(Q613&lt;(N$376+D$376),Q613+O614,(N$376+D$376))</f>
        <v>2107.09261628104</v>
      </c>
      <c r="O614" s="10">
        <f t="shared" si="102"/>
        <v>92.72609564255923</v>
      </c>
      <c r="P614" s="10">
        <f t="shared" si="103"/>
        <v>2014.366520638481</v>
      </c>
      <c r="Q614" s="11">
        <f t="shared" si="105"/>
        <v>42494.15938778994</v>
      </c>
      <c r="R614" s="9"/>
      <c r="S614" s="92">
        <f t="shared" si="104"/>
        <v>227</v>
      </c>
      <c r="V614" s="104">
        <f t="shared" si="97"/>
        <v>2107.09261628104</v>
      </c>
    </row>
    <row r="615" spans="2:22" ht="12.75">
      <c r="B615" s="9">
        <v>228</v>
      </c>
      <c r="C615" s="9" t="s">
        <v>38</v>
      </c>
      <c r="D615" s="10">
        <f t="shared" si="98"/>
        <v>0</v>
      </c>
      <c r="E615" s="10">
        <f t="shared" si="99"/>
        <v>0</v>
      </c>
      <c r="F615" s="10">
        <f t="shared" si="100"/>
        <v>0</v>
      </c>
      <c r="G615" s="11">
        <f t="shared" si="101"/>
        <v>0</v>
      </c>
      <c r="I615" s="92">
        <f t="shared" si="107"/>
      </c>
      <c r="L615" s="9">
        <v>228</v>
      </c>
      <c r="M615" s="9" t="s">
        <v>38</v>
      </c>
      <c r="N615" s="10">
        <f t="shared" si="108"/>
        <v>2107.09261628104</v>
      </c>
      <c r="O615" s="10">
        <f t="shared" si="102"/>
        <v>88.52949872456237</v>
      </c>
      <c r="P615" s="10">
        <f t="shared" si="103"/>
        <v>2018.5631175564777</v>
      </c>
      <c r="Q615" s="11">
        <f t="shared" si="105"/>
        <v>40475.596270233465</v>
      </c>
      <c r="R615" s="9"/>
      <c r="S615" s="92">
        <f t="shared" si="104"/>
        <v>228</v>
      </c>
      <c r="V615" s="104">
        <f t="shared" si="97"/>
        <v>3428.5140970781185</v>
      </c>
    </row>
    <row r="616" spans="2:23" ht="12.75">
      <c r="B616" s="84">
        <v>229</v>
      </c>
      <c r="C616" s="84" t="s">
        <v>27</v>
      </c>
      <c r="D616" s="85">
        <f t="shared" si="98"/>
        <v>0</v>
      </c>
      <c r="E616" s="85">
        <f t="shared" si="99"/>
        <v>0</v>
      </c>
      <c r="F616" s="85">
        <f t="shared" si="100"/>
        <v>0</v>
      </c>
      <c r="G616" s="86">
        <f t="shared" si="101"/>
        <v>0</v>
      </c>
      <c r="I616" s="92">
        <f t="shared" si="107"/>
      </c>
      <c r="J616" s="128">
        <f>(SUM(D604:D615)+J604)</f>
        <v>53859.308983714676</v>
      </c>
      <c r="K616">
        <v>19</v>
      </c>
      <c r="L616" s="84">
        <v>229</v>
      </c>
      <c r="M616" s="84" t="s">
        <v>27</v>
      </c>
      <c r="N616" s="85">
        <f t="shared" si="108"/>
        <v>2107.09261628104</v>
      </c>
      <c r="O616" s="85">
        <f t="shared" si="102"/>
        <v>84.32415889631973</v>
      </c>
      <c r="P616" s="85">
        <f t="shared" si="103"/>
        <v>2022.7684573847205</v>
      </c>
      <c r="Q616" s="86">
        <f t="shared" si="105"/>
        <v>37131.406332051665</v>
      </c>
      <c r="R616" s="68">
        <f>IF((Q615-P616)&gt;Energie!S28,Energie!S28,(Q615-P616))</f>
        <v>1321.4214807970786</v>
      </c>
      <c r="S616" s="92">
        <f t="shared" si="104"/>
        <v>229</v>
      </c>
      <c r="T616" s="128"/>
      <c r="U616" s="128">
        <f>(SUM(N604:N615)+R616+U604)</f>
        <v>442987.6385003321</v>
      </c>
      <c r="V616" s="104">
        <f t="shared" si="97"/>
        <v>2107.09261628104</v>
      </c>
      <c r="W616" s="104">
        <f>SUM(V604:V615)</f>
        <v>26606.532876169553</v>
      </c>
    </row>
    <row r="617" spans="2:22" ht="12.75">
      <c r="B617" s="9">
        <v>230</v>
      </c>
      <c r="C617" s="9" t="s">
        <v>28</v>
      </c>
      <c r="D617" s="10">
        <f t="shared" si="98"/>
        <v>0</v>
      </c>
      <c r="E617" s="10">
        <f t="shared" si="99"/>
        <v>0</v>
      </c>
      <c r="F617" s="10">
        <f t="shared" si="100"/>
        <v>0</v>
      </c>
      <c r="G617" s="11">
        <f t="shared" si="101"/>
        <v>0</v>
      </c>
      <c r="I617" s="92">
        <f t="shared" si="107"/>
      </c>
      <c r="L617" s="9">
        <v>230</v>
      </c>
      <c r="M617" s="9" t="s">
        <v>28</v>
      </c>
      <c r="N617" s="10">
        <f t="shared" si="108"/>
        <v>2107.09261628104</v>
      </c>
      <c r="O617" s="10">
        <f t="shared" si="102"/>
        <v>77.35709652510764</v>
      </c>
      <c r="P617" s="10">
        <f t="shared" si="103"/>
        <v>2029.7355197559325</v>
      </c>
      <c r="Q617" s="11">
        <f t="shared" si="105"/>
        <v>35101.670812295735</v>
      </c>
      <c r="R617" s="9"/>
      <c r="S617" s="92">
        <f t="shared" si="104"/>
        <v>230</v>
      </c>
      <c r="V617" s="104">
        <f t="shared" si="97"/>
        <v>2107.09261628104</v>
      </c>
    </row>
    <row r="618" spans="2:22" ht="12.75">
      <c r="B618" s="9">
        <v>231</v>
      </c>
      <c r="C618" s="9" t="s">
        <v>29</v>
      </c>
      <c r="D618" s="10">
        <f t="shared" si="98"/>
        <v>0</v>
      </c>
      <c r="E618" s="10">
        <f t="shared" si="99"/>
        <v>0</v>
      </c>
      <c r="F618" s="10">
        <f t="shared" si="100"/>
        <v>0</v>
      </c>
      <c r="G618" s="11">
        <f t="shared" si="101"/>
        <v>0</v>
      </c>
      <c r="I618" s="92">
        <f t="shared" si="107"/>
      </c>
      <c r="L618" s="9">
        <v>231</v>
      </c>
      <c r="M618" s="9" t="s">
        <v>29</v>
      </c>
      <c r="N618" s="10">
        <f t="shared" si="108"/>
        <v>2107.09261628104</v>
      </c>
      <c r="O618" s="10">
        <f t="shared" si="102"/>
        <v>73.12848085894946</v>
      </c>
      <c r="P618" s="10">
        <f t="shared" si="103"/>
        <v>2033.9641354220907</v>
      </c>
      <c r="Q618" s="11">
        <f t="shared" si="105"/>
        <v>33067.70667687365</v>
      </c>
      <c r="R618" s="9"/>
      <c r="S618" s="92">
        <f t="shared" si="104"/>
        <v>231</v>
      </c>
      <c r="V618" s="104">
        <f t="shared" si="97"/>
        <v>2107.09261628104</v>
      </c>
    </row>
    <row r="619" spans="2:22" ht="12.75">
      <c r="B619" s="9">
        <v>232</v>
      </c>
      <c r="C619" s="9" t="s">
        <v>30</v>
      </c>
      <c r="D619" s="10">
        <f t="shared" si="98"/>
        <v>0</v>
      </c>
      <c r="E619" s="10">
        <f t="shared" si="99"/>
        <v>0</v>
      </c>
      <c r="F619" s="10">
        <f t="shared" si="100"/>
        <v>0</v>
      </c>
      <c r="G619" s="11">
        <f t="shared" si="101"/>
        <v>0</v>
      </c>
      <c r="I619" s="92">
        <f t="shared" si="107"/>
      </c>
      <c r="L619" s="9">
        <v>232</v>
      </c>
      <c r="M619" s="9" t="s">
        <v>30</v>
      </c>
      <c r="N619" s="10">
        <f t="shared" si="108"/>
        <v>2107.09261628104</v>
      </c>
      <c r="O619" s="10">
        <f t="shared" si="102"/>
        <v>68.89105557682011</v>
      </c>
      <c r="P619" s="10">
        <f t="shared" si="103"/>
        <v>2038.2015607042201</v>
      </c>
      <c r="Q619" s="11">
        <f t="shared" si="105"/>
        <v>31029.50511616943</v>
      </c>
      <c r="R619" s="9"/>
      <c r="S619" s="92">
        <f t="shared" si="104"/>
        <v>232</v>
      </c>
      <c r="V619" s="104">
        <f t="shared" si="97"/>
        <v>2107.09261628104</v>
      </c>
    </row>
    <row r="620" spans="2:22" ht="12.75">
      <c r="B620" s="9">
        <v>233</v>
      </c>
      <c r="C620" s="9" t="s">
        <v>31</v>
      </c>
      <c r="D620" s="10">
        <f t="shared" si="98"/>
        <v>0</v>
      </c>
      <c r="E620" s="10">
        <f t="shared" si="99"/>
        <v>0</v>
      </c>
      <c r="F620" s="10">
        <f t="shared" si="100"/>
        <v>0</v>
      </c>
      <c r="G620" s="11">
        <f t="shared" si="101"/>
        <v>0</v>
      </c>
      <c r="I620" s="92">
        <f t="shared" si="107"/>
      </c>
      <c r="L620" s="9">
        <v>233</v>
      </c>
      <c r="M620" s="9" t="s">
        <v>31</v>
      </c>
      <c r="N620" s="10">
        <f t="shared" si="108"/>
        <v>2107.09261628104</v>
      </c>
      <c r="O620" s="10">
        <f t="shared" si="102"/>
        <v>64.64480232535298</v>
      </c>
      <c r="P620" s="10">
        <f t="shared" si="103"/>
        <v>2042.4478139556873</v>
      </c>
      <c r="Q620" s="11">
        <f t="shared" si="105"/>
        <v>28987.05730221374</v>
      </c>
      <c r="R620" s="9"/>
      <c r="S620" s="92">
        <f t="shared" si="104"/>
        <v>233</v>
      </c>
      <c r="V620" s="104">
        <f t="shared" si="97"/>
        <v>2107.09261628104</v>
      </c>
    </row>
    <row r="621" spans="2:22" ht="12.75">
      <c r="B621" s="9">
        <v>234</v>
      </c>
      <c r="C621" s="9" t="s">
        <v>32</v>
      </c>
      <c r="D621" s="10">
        <f t="shared" si="98"/>
        <v>0</v>
      </c>
      <c r="E621" s="10">
        <f t="shared" si="99"/>
        <v>0</v>
      </c>
      <c r="F621" s="10">
        <f t="shared" si="100"/>
        <v>0</v>
      </c>
      <c r="G621" s="11">
        <f t="shared" si="101"/>
        <v>0</v>
      </c>
      <c r="I621" s="92">
        <f t="shared" si="107"/>
      </c>
      <c r="L621" s="9">
        <v>234</v>
      </c>
      <c r="M621" s="9" t="s">
        <v>32</v>
      </c>
      <c r="N621" s="10">
        <f t="shared" si="108"/>
        <v>2107.09261628104</v>
      </c>
      <c r="O621" s="10">
        <f t="shared" si="102"/>
        <v>60.3897027129453</v>
      </c>
      <c r="P621" s="10">
        <f t="shared" si="103"/>
        <v>2046.7029135680948</v>
      </c>
      <c r="Q621" s="11">
        <f t="shared" si="105"/>
        <v>26940.354388645646</v>
      </c>
      <c r="R621" s="9"/>
      <c r="S621" s="92">
        <f t="shared" si="104"/>
        <v>234</v>
      </c>
      <c r="V621" s="104">
        <f t="shared" si="97"/>
        <v>2107.09261628104</v>
      </c>
    </row>
    <row r="622" spans="2:22" ht="12.75">
      <c r="B622" s="9">
        <v>235</v>
      </c>
      <c r="C622" s="9" t="s">
        <v>33</v>
      </c>
      <c r="D622" s="10">
        <f t="shared" si="98"/>
        <v>0</v>
      </c>
      <c r="E622" s="10">
        <f t="shared" si="99"/>
        <v>0</v>
      </c>
      <c r="F622" s="10">
        <f t="shared" si="100"/>
        <v>0</v>
      </c>
      <c r="G622" s="11">
        <f t="shared" si="101"/>
        <v>0</v>
      </c>
      <c r="I622" s="92">
        <f t="shared" si="107"/>
      </c>
      <c r="L622" s="9">
        <v>235</v>
      </c>
      <c r="M622" s="9" t="s">
        <v>33</v>
      </c>
      <c r="N622" s="10">
        <f t="shared" si="108"/>
        <v>2107.09261628104</v>
      </c>
      <c r="O622" s="10">
        <f t="shared" si="102"/>
        <v>56.12573830967843</v>
      </c>
      <c r="P622" s="10">
        <f t="shared" si="103"/>
        <v>2050.9668779713616</v>
      </c>
      <c r="Q622" s="11">
        <f t="shared" si="105"/>
        <v>24889.387510674285</v>
      </c>
      <c r="R622" s="9"/>
      <c r="S622" s="92">
        <f t="shared" si="104"/>
        <v>235</v>
      </c>
      <c r="V622" s="104">
        <f t="shared" si="97"/>
        <v>2107.09261628104</v>
      </c>
    </row>
    <row r="623" spans="2:22" ht="12.75">
      <c r="B623" s="9">
        <v>236</v>
      </c>
      <c r="C623" s="9" t="s">
        <v>34</v>
      </c>
      <c r="D623" s="10">
        <f t="shared" si="98"/>
        <v>0</v>
      </c>
      <c r="E623" s="10">
        <f t="shared" si="99"/>
        <v>0</v>
      </c>
      <c r="F623" s="10">
        <f t="shared" si="100"/>
        <v>0</v>
      </c>
      <c r="G623" s="11">
        <f t="shared" si="101"/>
        <v>0</v>
      </c>
      <c r="I623" s="92">
        <f t="shared" si="107"/>
      </c>
      <c r="L623" s="9">
        <v>236</v>
      </c>
      <c r="M623" s="9" t="s">
        <v>34</v>
      </c>
      <c r="N623" s="10">
        <f t="shared" si="108"/>
        <v>2107.09261628104</v>
      </c>
      <c r="O623" s="10">
        <f t="shared" si="102"/>
        <v>51.8528906472381</v>
      </c>
      <c r="P623" s="10">
        <f t="shared" si="103"/>
        <v>2055.239725633802</v>
      </c>
      <c r="Q623" s="11">
        <f t="shared" si="105"/>
        <v>22834.147785040484</v>
      </c>
      <c r="R623" s="9"/>
      <c r="S623" s="92">
        <f t="shared" si="104"/>
        <v>236</v>
      </c>
      <c r="V623" s="104">
        <f t="shared" si="97"/>
        <v>2107.09261628104</v>
      </c>
    </row>
    <row r="624" spans="2:22" ht="12.75">
      <c r="B624" s="9">
        <v>237</v>
      </c>
      <c r="C624" s="9" t="s">
        <v>35</v>
      </c>
      <c r="D624" s="10">
        <f t="shared" si="98"/>
        <v>0</v>
      </c>
      <c r="E624" s="10">
        <f t="shared" si="99"/>
        <v>0</v>
      </c>
      <c r="F624" s="10">
        <f t="shared" si="100"/>
        <v>0</v>
      </c>
      <c r="G624" s="11">
        <f t="shared" si="101"/>
        <v>0</v>
      </c>
      <c r="I624" s="92">
        <f t="shared" si="107"/>
      </c>
      <c r="L624" s="9">
        <v>237</v>
      </c>
      <c r="M624" s="9" t="s">
        <v>35</v>
      </c>
      <c r="N624" s="10">
        <f t="shared" si="108"/>
        <v>2107.09261628104</v>
      </c>
      <c r="O624" s="10">
        <f t="shared" si="102"/>
        <v>47.57114121883435</v>
      </c>
      <c r="P624" s="10">
        <f t="shared" si="103"/>
        <v>2059.521475062206</v>
      </c>
      <c r="Q624" s="11">
        <f t="shared" si="105"/>
        <v>20774.626309978277</v>
      </c>
      <c r="R624" s="9"/>
      <c r="S624" s="92">
        <f t="shared" si="104"/>
        <v>237</v>
      </c>
      <c r="V624" s="104">
        <f t="shared" si="97"/>
        <v>2107.09261628104</v>
      </c>
    </row>
    <row r="625" spans="2:22" ht="12.75">
      <c r="B625" s="9">
        <v>238</v>
      </c>
      <c r="C625" s="9" t="s">
        <v>36</v>
      </c>
      <c r="D625" s="10">
        <f t="shared" si="98"/>
        <v>0</v>
      </c>
      <c r="E625" s="10">
        <f t="shared" si="99"/>
        <v>0</v>
      </c>
      <c r="F625" s="10">
        <f t="shared" si="100"/>
        <v>0</v>
      </c>
      <c r="G625" s="11">
        <f t="shared" si="101"/>
        <v>0</v>
      </c>
      <c r="I625" s="92">
        <f t="shared" si="107"/>
      </c>
      <c r="L625" s="9">
        <v>238</v>
      </c>
      <c r="M625" s="9" t="s">
        <v>36</v>
      </c>
      <c r="N625" s="10">
        <f t="shared" si="108"/>
        <v>2107.09261628104</v>
      </c>
      <c r="O625" s="10">
        <f t="shared" si="102"/>
        <v>43.28047147912141</v>
      </c>
      <c r="P625" s="10">
        <f t="shared" si="103"/>
        <v>2063.8121448019187</v>
      </c>
      <c r="Q625" s="11">
        <f t="shared" si="105"/>
        <v>18710.814165176358</v>
      </c>
      <c r="R625" s="9"/>
      <c r="S625" s="92">
        <f t="shared" si="104"/>
        <v>238</v>
      </c>
      <c r="V625" s="104">
        <f t="shared" si="97"/>
        <v>2107.09261628104</v>
      </c>
    </row>
    <row r="626" spans="2:22" ht="12.75">
      <c r="B626" s="9">
        <v>239</v>
      </c>
      <c r="C626" s="9" t="s">
        <v>37</v>
      </c>
      <c r="D626" s="10">
        <f t="shared" si="98"/>
        <v>0</v>
      </c>
      <c r="E626" s="10">
        <f t="shared" si="99"/>
        <v>0</v>
      </c>
      <c r="F626" s="10">
        <f t="shared" si="100"/>
        <v>0</v>
      </c>
      <c r="G626" s="11">
        <f t="shared" si="101"/>
        <v>0</v>
      </c>
      <c r="I626" s="92">
        <f t="shared" si="107"/>
      </c>
      <c r="L626" s="9">
        <v>239</v>
      </c>
      <c r="M626" s="9" t="s">
        <v>37</v>
      </c>
      <c r="N626" s="10">
        <f t="shared" si="108"/>
        <v>2107.09261628104</v>
      </c>
      <c r="O626" s="10">
        <f t="shared" si="102"/>
        <v>38.98086284411742</v>
      </c>
      <c r="P626" s="10">
        <f t="shared" si="103"/>
        <v>2068.1117534369228</v>
      </c>
      <c r="Q626" s="11">
        <f t="shared" si="105"/>
        <v>16642.702411739436</v>
      </c>
      <c r="R626" s="9"/>
      <c r="S626" s="92">
        <f t="shared" si="104"/>
        <v>239</v>
      </c>
      <c r="V626" s="104">
        <f t="shared" si="97"/>
        <v>2107.09261628104</v>
      </c>
    </row>
    <row r="627" spans="2:22" ht="12.75">
      <c r="B627" s="9">
        <v>240</v>
      </c>
      <c r="C627" s="9" t="s">
        <v>38</v>
      </c>
      <c r="D627" s="10">
        <f t="shared" si="98"/>
        <v>0</v>
      </c>
      <c r="E627" s="10">
        <f t="shared" si="99"/>
        <v>0</v>
      </c>
      <c r="F627" s="10">
        <f t="shared" si="100"/>
        <v>0</v>
      </c>
      <c r="G627" s="11">
        <f t="shared" si="101"/>
        <v>0</v>
      </c>
      <c r="I627" s="92">
        <f t="shared" si="107"/>
      </c>
      <c r="L627" s="9">
        <v>240</v>
      </c>
      <c r="M627" s="9" t="s">
        <v>38</v>
      </c>
      <c r="N627" s="10">
        <f t="shared" si="108"/>
        <v>2107.09261628104</v>
      </c>
      <c r="O627" s="10">
        <f t="shared" si="102"/>
        <v>34.672296691123826</v>
      </c>
      <c r="P627" s="10">
        <f t="shared" si="103"/>
        <v>2072.4203195899163</v>
      </c>
      <c r="Q627" s="11">
        <f t="shared" si="105"/>
        <v>14570.282092149519</v>
      </c>
      <c r="R627" s="9"/>
      <c r="S627" s="92">
        <f t="shared" si="104"/>
        <v>240</v>
      </c>
      <c r="T627" s="128">
        <f>SUM(R382:R628)</f>
        <v>17820.297726753164</v>
      </c>
      <c r="U627" s="129"/>
      <c r="V627" s="104">
        <f t="shared" si="97"/>
        <v>3497.5593710644907</v>
      </c>
    </row>
    <row r="628" spans="2:23" ht="12.75">
      <c r="B628" s="84">
        <v>241</v>
      </c>
      <c r="C628" s="84" t="s">
        <v>27</v>
      </c>
      <c r="D628" s="85">
        <f t="shared" si="98"/>
        <v>0</v>
      </c>
      <c r="E628" s="85">
        <f t="shared" si="99"/>
        <v>0</v>
      </c>
      <c r="F628" s="85">
        <f t="shared" si="100"/>
        <v>0</v>
      </c>
      <c r="G628" s="86">
        <f t="shared" si="101"/>
        <v>0</v>
      </c>
      <c r="I628" s="92">
        <f t="shared" si="107"/>
      </c>
      <c r="J628" s="128">
        <f>(SUM(D616:D627)+J616)</f>
        <v>53859.308983714676</v>
      </c>
      <c r="K628">
        <v>20</v>
      </c>
      <c r="L628" s="84">
        <v>241</v>
      </c>
      <c r="M628" s="84" t="s">
        <v>27</v>
      </c>
      <c r="N628" s="85">
        <f t="shared" si="108"/>
        <v>2107.09261628104</v>
      </c>
      <c r="O628" s="85">
        <f t="shared" si="102"/>
        <v>30.35475435864483</v>
      </c>
      <c r="P628" s="85">
        <f t="shared" si="103"/>
        <v>2076.7378619223955</v>
      </c>
      <c r="Q628" s="86">
        <f t="shared" si="105"/>
        <v>11103.077475443672</v>
      </c>
      <c r="R628" s="68">
        <f>IF((Q627-P628)&gt;Energie!S29,Energie!S29,(Q627-P628))</f>
        <v>1390.4667547834504</v>
      </c>
      <c r="S628" s="92">
        <f t="shared" si="104"/>
        <v>241</v>
      </c>
      <c r="T628" s="128"/>
      <c r="U628" s="128">
        <f>(SUM(N616:N627)+R628+U616)</f>
        <v>469663.216650488</v>
      </c>
      <c r="V628" s="104">
        <f t="shared" si="97"/>
        <v>2107.09261628104</v>
      </c>
      <c r="W628" s="104">
        <f>SUM(V616:V627)</f>
        <v>26675.578150155925</v>
      </c>
    </row>
    <row r="629" spans="2:22" ht="12.75">
      <c r="B629" s="9">
        <v>242</v>
      </c>
      <c r="C629" s="9" t="s">
        <v>28</v>
      </c>
      <c r="D629" s="10">
        <f t="shared" si="98"/>
        <v>0</v>
      </c>
      <c r="E629" s="10">
        <f t="shared" si="99"/>
        <v>0</v>
      </c>
      <c r="F629" s="10">
        <f t="shared" si="100"/>
        <v>0</v>
      </c>
      <c r="G629" s="11">
        <f t="shared" si="101"/>
        <v>0</v>
      </c>
      <c r="I629" s="92">
        <f t="shared" si="107"/>
      </c>
      <c r="L629" s="9">
        <v>242</v>
      </c>
      <c r="M629" s="9" t="s">
        <v>28</v>
      </c>
      <c r="N629" s="10">
        <f t="shared" si="108"/>
        <v>2107.09261628104</v>
      </c>
      <c r="O629" s="10">
        <f t="shared" si="102"/>
        <v>23.131411407174316</v>
      </c>
      <c r="P629" s="10">
        <f t="shared" si="103"/>
        <v>2083.961204873866</v>
      </c>
      <c r="Q629" s="11">
        <f t="shared" si="105"/>
        <v>9019.116270569806</v>
      </c>
      <c r="R629" s="9"/>
      <c r="S629" s="92">
        <f t="shared" si="104"/>
        <v>242</v>
      </c>
      <c r="V629" s="104">
        <f t="shared" si="97"/>
        <v>2107.09261628104</v>
      </c>
    </row>
    <row r="630" spans="2:22" ht="12.75">
      <c r="B630" s="9">
        <v>243</v>
      </c>
      <c r="C630" s="9" t="s">
        <v>29</v>
      </c>
      <c r="D630" s="10">
        <f t="shared" si="98"/>
        <v>0</v>
      </c>
      <c r="E630" s="10">
        <f t="shared" si="99"/>
        <v>0</v>
      </c>
      <c r="F630" s="10">
        <f t="shared" si="100"/>
        <v>0</v>
      </c>
      <c r="G630" s="11">
        <f t="shared" si="101"/>
        <v>0</v>
      </c>
      <c r="I630" s="92">
        <f t="shared" si="107"/>
      </c>
      <c r="L630" s="9">
        <v>243</v>
      </c>
      <c r="M630" s="9" t="s">
        <v>29</v>
      </c>
      <c r="N630" s="10">
        <f t="shared" si="108"/>
        <v>2107.09261628104</v>
      </c>
      <c r="O630" s="10">
        <f t="shared" si="102"/>
        <v>18.789825563687096</v>
      </c>
      <c r="P630" s="10">
        <f t="shared" si="103"/>
        <v>2088.302790717353</v>
      </c>
      <c r="Q630" s="11">
        <f t="shared" si="105"/>
        <v>6930.813479852453</v>
      </c>
      <c r="R630" s="9"/>
      <c r="S630" s="92">
        <f t="shared" si="104"/>
        <v>243</v>
      </c>
      <c r="V630" s="104">
        <f t="shared" si="97"/>
        <v>2107.09261628104</v>
      </c>
    </row>
    <row r="631" spans="2:22" ht="12.75">
      <c r="B631" s="9">
        <v>244</v>
      </c>
      <c r="C631" s="9" t="s">
        <v>30</v>
      </c>
      <c r="D631" s="10">
        <f t="shared" si="98"/>
        <v>0</v>
      </c>
      <c r="E631" s="10">
        <f t="shared" si="99"/>
        <v>0</v>
      </c>
      <c r="F631" s="10">
        <f t="shared" si="100"/>
        <v>0</v>
      </c>
      <c r="G631" s="11">
        <f t="shared" si="101"/>
        <v>0</v>
      </c>
      <c r="I631" s="92">
        <f t="shared" si="107"/>
      </c>
      <c r="L631" s="9">
        <v>244</v>
      </c>
      <c r="M631" s="9" t="s">
        <v>30</v>
      </c>
      <c r="N631" s="10">
        <f t="shared" si="108"/>
        <v>2107.09261628104</v>
      </c>
      <c r="O631" s="10">
        <f t="shared" si="102"/>
        <v>14.43919474969261</v>
      </c>
      <c r="P631" s="10">
        <f t="shared" si="103"/>
        <v>2092.6534215313477</v>
      </c>
      <c r="Q631" s="11">
        <f t="shared" si="105"/>
        <v>4838.160058321106</v>
      </c>
      <c r="R631" s="9"/>
      <c r="S631" s="92">
        <f t="shared" si="104"/>
        <v>244</v>
      </c>
      <c r="V631" s="104">
        <f t="shared" si="97"/>
        <v>2107.09261628104</v>
      </c>
    </row>
    <row r="632" spans="2:22" ht="12.75">
      <c r="B632" s="9">
        <v>245</v>
      </c>
      <c r="C632" s="9" t="s">
        <v>31</v>
      </c>
      <c r="D632" s="10">
        <f t="shared" si="98"/>
        <v>0</v>
      </c>
      <c r="E632" s="10">
        <f t="shared" si="99"/>
        <v>0</v>
      </c>
      <c r="F632" s="10">
        <f t="shared" si="100"/>
        <v>0</v>
      </c>
      <c r="G632" s="11">
        <f t="shared" si="101"/>
        <v>0</v>
      </c>
      <c r="I632" s="92">
        <f t="shared" si="107"/>
      </c>
      <c r="L632" s="9">
        <v>245</v>
      </c>
      <c r="M632" s="9" t="s">
        <v>31</v>
      </c>
      <c r="N632" s="10">
        <f t="shared" si="108"/>
        <v>2107.09261628104</v>
      </c>
      <c r="O632" s="10">
        <f t="shared" si="102"/>
        <v>10.079500121502303</v>
      </c>
      <c r="P632" s="10">
        <f t="shared" si="103"/>
        <v>2097.0131161595377</v>
      </c>
      <c r="Q632" s="11">
        <f t="shared" si="105"/>
        <v>2741.146942161568</v>
      </c>
      <c r="R632" s="9"/>
      <c r="S632" s="92">
        <f t="shared" si="104"/>
        <v>245</v>
      </c>
      <c r="V632" s="104">
        <f t="shared" si="97"/>
        <v>2107.09261628104</v>
      </c>
    </row>
    <row r="633" spans="2:22" ht="12.75">
      <c r="B633" s="9">
        <v>246</v>
      </c>
      <c r="C633" s="9" t="s">
        <v>32</v>
      </c>
      <c r="D633" s="10">
        <f t="shared" si="98"/>
        <v>0</v>
      </c>
      <c r="E633" s="10">
        <f t="shared" si="99"/>
        <v>0</v>
      </c>
      <c r="F633" s="10">
        <f t="shared" si="100"/>
        <v>0</v>
      </c>
      <c r="G633" s="11">
        <f t="shared" si="101"/>
        <v>0</v>
      </c>
      <c r="I633" s="92">
        <f t="shared" si="107"/>
      </c>
      <c r="L633" s="9">
        <v>246</v>
      </c>
      <c r="M633" s="9" t="s">
        <v>32</v>
      </c>
      <c r="N633" s="10">
        <f t="shared" si="108"/>
        <v>2107.09261628104</v>
      </c>
      <c r="O633" s="10">
        <f t="shared" si="102"/>
        <v>5.710722796169932</v>
      </c>
      <c r="P633" s="10">
        <f t="shared" si="103"/>
        <v>2101.38189348487</v>
      </c>
      <c r="Q633" s="11">
        <f t="shared" si="105"/>
        <v>639.7650486766979</v>
      </c>
      <c r="R633" s="9"/>
      <c r="S633" s="92">
        <f t="shared" si="104"/>
        <v>246</v>
      </c>
      <c r="V633" s="104">
        <f t="shared" si="97"/>
        <v>2107.09261628104</v>
      </c>
    </row>
    <row r="634" spans="2:22" ht="12.75">
      <c r="B634" s="9">
        <v>247</v>
      </c>
      <c r="C634" s="9" t="s">
        <v>33</v>
      </c>
      <c r="D634" s="10">
        <f t="shared" si="98"/>
        <v>0</v>
      </c>
      <c r="E634" s="10">
        <f t="shared" si="99"/>
        <v>0</v>
      </c>
      <c r="F634" s="10">
        <f t="shared" si="100"/>
        <v>0</v>
      </c>
      <c r="G634" s="11">
        <f t="shared" si="101"/>
        <v>0</v>
      </c>
      <c r="I634" s="92">
        <f t="shared" si="107"/>
      </c>
      <c r="L634" s="9">
        <v>247</v>
      </c>
      <c r="M634" s="9" t="s">
        <v>33</v>
      </c>
      <c r="N634" s="10">
        <f t="shared" si="108"/>
        <v>641.0978925281076</v>
      </c>
      <c r="O634" s="10">
        <f t="shared" si="102"/>
        <v>1.3328438514097873</v>
      </c>
      <c r="P634" s="10">
        <f t="shared" si="103"/>
        <v>639.7650486766979</v>
      </c>
      <c r="Q634" s="11">
        <f t="shared" si="105"/>
        <v>0</v>
      </c>
      <c r="R634" s="9"/>
      <c r="S634" s="92">
        <f>IF(O634&gt;0,L634,"")</f>
        <v>247</v>
      </c>
      <c r="V634" s="104">
        <f t="shared" si="97"/>
        <v>641.0978925281076</v>
      </c>
    </row>
    <row r="635" spans="2:22" ht="12.75">
      <c r="B635" s="9">
        <v>248</v>
      </c>
      <c r="C635" s="9" t="s">
        <v>34</v>
      </c>
      <c r="D635" s="10">
        <f t="shared" si="98"/>
        <v>0</v>
      </c>
      <c r="E635" s="10">
        <f t="shared" si="99"/>
        <v>0</v>
      </c>
      <c r="F635" s="10">
        <f t="shared" si="100"/>
        <v>0</v>
      </c>
      <c r="G635" s="11">
        <f t="shared" si="101"/>
        <v>0</v>
      </c>
      <c r="I635" s="92">
        <f t="shared" si="107"/>
      </c>
      <c r="L635" s="9">
        <v>248</v>
      </c>
      <c r="M635" s="9" t="s">
        <v>34</v>
      </c>
      <c r="N635" s="10">
        <f t="shared" si="108"/>
        <v>0</v>
      </c>
      <c r="O635" s="10">
        <f t="shared" si="102"/>
        <v>0</v>
      </c>
      <c r="P635" s="10">
        <f t="shared" si="103"/>
        <v>0</v>
      </c>
      <c r="Q635" s="11">
        <f t="shared" si="105"/>
        <v>0</v>
      </c>
      <c r="R635" s="9"/>
      <c r="S635" s="92">
        <f t="shared" si="104"/>
      </c>
      <c r="V635" s="104">
        <f t="shared" si="97"/>
        <v>0</v>
      </c>
    </row>
    <row r="636" spans="2:22" ht="12.75">
      <c r="B636" s="9">
        <v>249</v>
      </c>
      <c r="C636" s="9" t="s">
        <v>35</v>
      </c>
      <c r="D636" s="10">
        <f t="shared" si="98"/>
        <v>0</v>
      </c>
      <c r="E636" s="10">
        <f t="shared" si="99"/>
        <v>0</v>
      </c>
      <c r="F636" s="10">
        <f t="shared" si="100"/>
        <v>0</v>
      </c>
      <c r="G636" s="11">
        <f t="shared" si="101"/>
        <v>0</v>
      </c>
      <c r="I636" s="92">
        <f t="shared" si="107"/>
      </c>
      <c r="L636" s="9">
        <v>249</v>
      </c>
      <c r="M636" s="9" t="s">
        <v>35</v>
      </c>
      <c r="N636" s="10">
        <f t="shared" si="108"/>
        <v>0</v>
      </c>
      <c r="O636" s="10">
        <f t="shared" si="102"/>
        <v>0</v>
      </c>
      <c r="P636" s="10">
        <f t="shared" si="103"/>
        <v>0</v>
      </c>
      <c r="Q636" s="11">
        <f t="shared" si="105"/>
        <v>0</v>
      </c>
      <c r="R636" s="9"/>
      <c r="S636" s="92">
        <f t="shared" si="104"/>
      </c>
      <c r="V636" s="104">
        <f t="shared" si="97"/>
        <v>0</v>
      </c>
    </row>
    <row r="637" spans="2:22" ht="12.75">
      <c r="B637" s="9">
        <v>250</v>
      </c>
      <c r="C637" s="9" t="s">
        <v>36</v>
      </c>
      <c r="D637" s="10">
        <f t="shared" si="98"/>
        <v>0</v>
      </c>
      <c r="E637" s="10">
        <f t="shared" si="99"/>
        <v>0</v>
      </c>
      <c r="F637" s="10">
        <f t="shared" si="100"/>
        <v>0</v>
      </c>
      <c r="G637" s="11">
        <f t="shared" si="101"/>
        <v>0</v>
      </c>
      <c r="I637" s="92">
        <f t="shared" si="107"/>
      </c>
      <c r="L637" s="9">
        <v>250</v>
      </c>
      <c r="M637" s="9" t="s">
        <v>36</v>
      </c>
      <c r="N637" s="10">
        <f t="shared" si="108"/>
        <v>0</v>
      </c>
      <c r="O637" s="10">
        <f t="shared" si="102"/>
        <v>0</v>
      </c>
      <c r="P637" s="10">
        <f t="shared" si="103"/>
        <v>0</v>
      </c>
      <c r="Q637" s="11">
        <f t="shared" si="105"/>
        <v>0</v>
      </c>
      <c r="R637" s="9"/>
      <c r="S637" s="92">
        <f t="shared" si="104"/>
      </c>
      <c r="V637" s="104">
        <f t="shared" si="97"/>
        <v>0</v>
      </c>
    </row>
    <row r="638" spans="2:22" ht="12.75">
      <c r="B638" s="9">
        <v>251</v>
      </c>
      <c r="C638" s="9" t="s">
        <v>37</v>
      </c>
      <c r="D638" s="10">
        <f t="shared" si="98"/>
        <v>0</v>
      </c>
      <c r="E638" s="10">
        <f t="shared" si="99"/>
        <v>0</v>
      </c>
      <c r="F638" s="10">
        <f t="shared" si="100"/>
        <v>0</v>
      </c>
      <c r="G638" s="11">
        <f t="shared" si="101"/>
        <v>0</v>
      </c>
      <c r="I638" s="92">
        <f t="shared" si="107"/>
      </c>
      <c r="L638" s="9">
        <v>251</v>
      </c>
      <c r="M638" s="9" t="s">
        <v>37</v>
      </c>
      <c r="N638" s="10">
        <f t="shared" si="108"/>
        <v>0</v>
      </c>
      <c r="O638" s="10">
        <f t="shared" si="102"/>
        <v>0</v>
      </c>
      <c r="P638" s="10">
        <f t="shared" si="103"/>
        <v>0</v>
      </c>
      <c r="Q638" s="11">
        <f t="shared" si="105"/>
        <v>0</v>
      </c>
      <c r="R638" s="9"/>
      <c r="S638" s="92">
        <f t="shared" si="104"/>
      </c>
      <c r="V638" s="104">
        <f t="shared" si="97"/>
        <v>0</v>
      </c>
    </row>
    <row r="639" spans="2:22" ht="12.75">
      <c r="B639" s="9">
        <v>252</v>
      </c>
      <c r="C639" s="9" t="s">
        <v>38</v>
      </c>
      <c r="D639" s="10">
        <f t="shared" si="98"/>
        <v>0</v>
      </c>
      <c r="E639" s="10">
        <f t="shared" si="99"/>
        <v>0</v>
      </c>
      <c r="F639" s="10">
        <f t="shared" si="100"/>
        <v>0</v>
      </c>
      <c r="G639" s="11">
        <f t="shared" si="101"/>
        <v>0</v>
      </c>
      <c r="I639" s="92">
        <f t="shared" si="107"/>
      </c>
      <c r="L639" s="9">
        <v>252</v>
      </c>
      <c r="M639" s="9" t="s">
        <v>38</v>
      </c>
      <c r="N639" s="10">
        <f>IF(Q638&lt;(N$376+D$376),Q638+O639,(N$376+D$376))</f>
        <v>0</v>
      </c>
      <c r="O639" s="10">
        <f t="shared" si="102"/>
        <v>0</v>
      </c>
      <c r="P639" s="10">
        <f t="shared" si="103"/>
        <v>0</v>
      </c>
      <c r="Q639" s="11">
        <f t="shared" si="105"/>
        <v>0</v>
      </c>
      <c r="R639" s="9"/>
      <c r="S639" s="92">
        <f t="shared" si="104"/>
      </c>
      <c r="V639" s="104">
        <f t="shared" si="97"/>
        <v>0</v>
      </c>
    </row>
    <row r="640" spans="2:23" ht="12.75">
      <c r="B640" s="84">
        <v>253</v>
      </c>
      <c r="C640" s="84" t="s">
        <v>27</v>
      </c>
      <c r="D640" s="85">
        <f t="shared" si="98"/>
        <v>0</v>
      </c>
      <c r="E640" s="85">
        <f t="shared" si="99"/>
        <v>0</v>
      </c>
      <c r="F640" s="85">
        <f t="shared" si="100"/>
        <v>0</v>
      </c>
      <c r="G640" s="86">
        <f t="shared" si="101"/>
        <v>0</v>
      </c>
      <c r="I640" s="92">
        <f t="shared" si="107"/>
      </c>
      <c r="J640" s="128">
        <f>(SUM(D628:D639)+J628)</f>
        <v>53859.308983714676</v>
      </c>
      <c r="K640">
        <v>21</v>
      </c>
      <c r="L640" s="84">
        <v>253</v>
      </c>
      <c r="M640" s="84" t="s">
        <v>27</v>
      </c>
      <c r="N640" s="85">
        <f aca="true" t="shared" si="109" ref="N640:N671">IF(Q639&lt;(N$376+D$376),Q639+O640,(N$376+D$376))</f>
        <v>0</v>
      </c>
      <c r="O640" s="85">
        <f t="shared" si="102"/>
        <v>0</v>
      </c>
      <c r="P640" s="85">
        <f t="shared" si="103"/>
        <v>0</v>
      </c>
      <c r="Q640" s="86">
        <f t="shared" si="105"/>
        <v>0</v>
      </c>
      <c r="R640" s="68">
        <f>IF((Q639-P640)&gt;Energie!S31,Energie!S31,(Q639-P640))</f>
        <v>0</v>
      </c>
      <c r="S640" s="92">
        <f t="shared" si="104"/>
      </c>
      <c r="T640" s="128"/>
      <c r="U640" s="128">
        <f>(SUM(N628:N639)+R640+U628)</f>
        <v>482946.8702407023</v>
      </c>
      <c r="V640" s="104">
        <f t="shared" si="97"/>
        <v>0</v>
      </c>
      <c r="W640" s="104">
        <f>SUM(V628:V639)</f>
        <v>13283.653590214346</v>
      </c>
    </row>
    <row r="641" spans="2:22" ht="12.75">
      <c r="B641" s="9">
        <v>254</v>
      </c>
      <c r="C641" s="9" t="s">
        <v>28</v>
      </c>
      <c r="D641" s="10">
        <f t="shared" si="98"/>
        <v>0</v>
      </c>
      <c r="E641" s="10">
        <f t="shared" si="99"/>
        <v>0</v>
      </c>
      <c r="F641" s="10">
        <f t="shared" si="100"/>
        <v>0</v>
      </c>
      <c r="G641" s="11">
        <f t="shared" si="101"/>
        <v>0</v>
      </c>
      <c r="I641" s="92">
        <f t="shared" si="107"/>
      </c>
      <c r="L641" s="9">
        <v>254</v>
      </c>
      <c r="M641" s="9" t="s">
        <v>28</v>
      </c>
      <c r="N641" s="10">
        <f t="shared" si="109"/>
        <v>0</v>
      </c>
      <c r="O641" s="10">
        <f t="shared" si="102"/>
        <v>0</v>
      </c>
      <c r="P641" s="10">
        <f t="shared" si="103"/>
        <v>0</v>
      </c>
      <c r="Q641" s="11">
        <f t="shared" si="105"/>
        <v>0</v>
      </c>
      <c r="R641" s="9"/>
      <c r="S641" s="92">
        <f t="shared" si="104"/>
      </c>
      <c r="V641" s="104">
        <f t="shared" si="97"/>
        <v>0</v>
      </c>
    </row>
    <row r="642" spans="2:22" ht="12.75">
      <c r="B642" s="9">
        <v>255</v>
      </c>
      <c r="C642" s="9" t="s">
        <v>29</v>
      </c>
      <c r="D642" s="10">
        <f t="shared" si="98"/>
        <v>0</v>
      </c>
      <c r="E642" s="10">
        <f t="shared" si="99"/>
        <v>0</v>
      </c>
      <c r="F642" s="10">
        <f t="shared" si="100"/>
        <v>0</v>
      </c>
      <c r="G642" s="11">
        <f t="shared" si="101"/>
        <v>0</v>
      </c>
      <c r="I642" s="92">
        <f t="shared" si="107"/>
      </c>
      <c r="L642" s="9">
        <v>255</v>
      </c>
      <c r="M642" s="9" t="s">
        <v>29</v>
      </c>
      <c r="N642" s="10">
        <f t="shared" si="109"/>
        <v>0</v>
      </c>
      <c r="O642" s="10">
        <f t="shared" si="102"/>
        <v>0</v>
      </c>
      <c r="P642" s="10">
        <f t="shared" si="103"/>
        <v>0</v>
      </c>
      <c r="Q642" s="11">
        <f t="shared" si="105"/>
        <v>0</v>
      </c>
      <c r="R642" s="9"/>
      <c r="S642" s="92">
        <f t="shared" si="104"/>
      </c>
      <c r="V642" s="104">
        <f t="shared" si="97"/>
        <v>0</v>
      </c>
    </row>
    <row r="643" spans="2:22" ht="12.75">
      <c r="B643" s="9">
        <v>256</v>
      </c>
      <c r="C643" s="9" t="s">
        <v>30</v>
      </c>
      <c r="D643" s="10">
        <f t="shared" si="98"/>
        <v>0</v>
      </c>
      <c r="E643" s="10">
        <f t="shared" si="99"/>
        <v>0</v>
      </c>
      <c r="F643" s="10">
        <f t="shared" si="100"/>
        <v>0</v>
      </c>
      <c r="G643" s="11">
        <f t="shared" si="101"/>
        <v>0</v>
      </c>
      <c r="I643" s="92">
        <f t="shared" si="107"/>
      </c>
      <c r="L643" s="9">
        <v>256</v>
      </c>
      <c r="M643" s="9" t="s">
        <v>30</v>
      </c>
      <c r="N643" s="10">
        <f t="shared" si="109"/>
        <v>0</v>
      </c>
      <c r="O643" s="10">
        <f t="shared" si="102"/>
        <v>0</v>
      </c>
      <c r="P643" s="10">
        <f t="shared" si="103"/>
        <v>0</v>
      </c>
      <c r="Q643" s="11">
        <f t="shared" si="105"/>
        <v>0</v>
      </c>
      <c r="R643" s="9"/>
      <c r="S643" s="92">
        <f t="shared" si="104"/>
      </c>
      <c r="V643" s="104">
        <f t="shared" si="97"/>
        <v>0</v>
      </c>
    </row>
    <row r="644" spans="2:22" ht="12.75">
      <c r="B644" s="9">
        <v>257</v>
      </c>
      <c r="C644" s="9" t="s">
        <v>31</v>
      </c>
      <c r="D644" s="10">
        <f t="shared" si="98"/>
        <v>0</v>
      </c>
      <c r="E644" s="10">
        <f t="shared" si="99"/>
        <v>0</v>
      </c>
      <c r="F644" s="10">
        <f t="shared" si="100"/>
        <v>0</v>
      </c>
      <c r="G644" s="11">
        <f t="shared" si="101"/>
        <v>0</v>
      </c>
      <c r="I644" s="92">
        <f t="shared" si="107"/>
      </c>
      <c r="L644" s="9">
        <v>257</v>
      </c>
      <c r="M644" s="9" t="s">
        <v>31</v>
      </c>
      <c r="N644" s="10">
        <f t="shared" si="109"/>
        <v>0</v>
      </c>
      <c r="O644" s="10">
        <f t="shared" si="102"/>
        <v>0</v>
      </c>
      <c r="P644" s="10">
        <f t="shared" si="103"/>
        <v>0</v>
      </c>
      <c r="Q644" s="11">
        <f t="shared" si="105"/>
        <v>0</v>
      </c>
      <c r="R644" s="9"/>
      <c r="S644" s="92">
        <f t="shared" si="104"/>
      </c>
      <c r="V644" s="104">
        <f aca="true" t="shared" si="110" ref="V644:V707">SUM(D644+N644+R645)</f>
        <v>0</v>
      </c>
    </row>
    <row r="645" spans="2:22" ht="12.75">
      <c r="B645" s="9">
        <v>258</v>
      </c>
      <c r="C645" s="9" t="s">
        <v>32</v>
      </c>
      <c r="D645" s="10">
        <f aca="true" t="shared" si="111" ref="D645:D708">IF(G644&lt;D$376,G644+E645,D$376)</f>
        <v>0</v>
      </c>
      <c r="E645" s="10">
        <f aca="true" t="shared" si="112" ref="E645:E708">IF(G644/100*E$376/12&lt;0,0,G644/100*E$376/12)</f>
        <v>0</v>
      </c>
      <c r="F645" s="10">
        <f aca="true" t="shared" si="113" ref="F645:F708">D645-E645</f>
        <v>0</v>
      </c>
      <c r="G645" s="11">
        <f aca="true" t="shared" si="114" ref="G645:G708">G644-F645-H644</f>
        <v>0</v>
      </c>
      <c r="I645" s="92">
        <f t="shared" si="107"/>
      </c>
      <c r="L645" s="9">
        <v>258</v>
      </c>
      <c r="M645" s="9" t="s">
        <v>32</v>
      </c>
      <c r="N645" s="10">
        <f t="shared" si="109"/>
        <v>0</v>
      </c>
      <c r="O645" s="10">
        <f aca="true" t="shared" si="115" ref="O645:O708">IF(Q644/100*O$376/12&lt;0,0,Q644/100*O$376/12)</f>
        <v>0</v>
      </c>
      <c r="P645" s="10">
        <f aca="true" t="shared" si="116" ref="P645:P708">N645-O645</f>
        <v>0</v>
      </c>
      <c r="Q645" s="11">
        <f t="shared" si="105"/>
        <v>0</v>
      </c>
      <c r="R645" s="9"/>
      <c r="S645" s="92">
        <f t="shared" si="104"/>
      </c>
      <c r="V645" s="104">
        <f t="shared" si="110"/>
        <v>0</v>
      </c>
    </row>
    <row r="646" spans="2:22" ht="12.75">
      <c r="B646" s="9">
        <v>259</v>
      </c>
      <c r="C646" s="9" t="s">
        <v>33</v>
      </c>
      <c r="D646" s="10">
        <f t="shared" si="111"/>
        <v>0</v>
      </c>
      <c r="E646" s="10">
        <f t="shared" si="112"/>
        <v>0</v>
      </c>
      <c r="F646" s="10">
        <f t="shared" si="113"/>
        <v>0</v>
      </c>
      <c r="G646" s="11">
        <f t="shared" si="114"/>
        <v>0</v>
      </c>
      <c r="I646" s="92">
        <f t="shared" si="107"/>
      </c>
      <c r="L646" s="9">
        <v>259</v>
      </c>
      <c r="M646" s="9" t="s">
        <v>33</v>
      </c>
      <c r="N646" s="10">
        <f t="shared" si="109"/>
        <v>0</v>
      </c>
      <c r="O646" s="10">
        <f t="shared" si="115"/>
        <v>0</v>
      </c>
      <c r="P646" s="10">
        <f t="shared" si="116"/>
        <v>0</v>
      </c>
      <c r="Q646" s="11">
        <f t="shared" si="105"/>
        <v>0</v>
      </c>
      <c r="R646" s="9"/>
      <c r="S646" s="92">
        <f aca="true" t="shared" si="117" ref="S646:S709">IF(O646&gt;0,L646,"")</f>
      </c>
      <c r="V646" s="104">
        <f t="shared" si="110"/>
        <v>0</v>
      </c>
    </row>
    <row r="647" spans="2:22" ht="12.75">
      <c r="B647" s="9">
        <v>260</v>
      </c>
      <c r="C647" s="9" t="s">
        <v>34</v>
      </c>
      <c r="D647" s="10">
        <f t="shared" si="111"/>
        <v>0</v>
      </c>
      <c r="E647" s="10">
        <f t="shared" si="112"/>
        <v>0</v>
      </c>
      <c r="F647" s="10">
        <f t="shared" si="113"/>
        <v>0</v>
      </c>
      <c r="G647" s="11">
        <f t="shared" si="114"/>
        <v>0</v>
      </c>
      <c r="I647" s="92">
        <f t="shared" si="107"/>
      </c>
      <c r="L647" s="9">
        <v>260</v>
      </c>
      <c r="M647" s="9" t="s">
        <v>34</v>
      </c>
      <c r="N647" s="10">
        <f t="shared" si="109"/>
        <v>0</v>
      </c>
      <c r="O647" s="10">
        <f t="shared" si="115"/>
        <v>0</v>
      </c>
      <c r="P647" s="10">
        <f t="shared" si="116"/>
        <v>0</v>
      </c>
      <c r="Q647" s="11">
        <f aca="true" t="shared" si="118" ref="Q647:Q710">Q646-P647-R647</f>
        <v>0</v>
      </c>
      <c r="R647" s="9"/>
      <c r="S647" s="92">
        <f t="shared" si="117"/>
      </c>
      <c r="V647" s="104">
        <f t="shared" si="110"/>
        <v>0</v>
      </c>
    </row>
    <row r="648" spans="2:22" ht="12.75">
      <c r="B648" s="9">
        <v>261</v>
      </c>
      <c r="C648" s="9" t="s">
        <v>35</v>
      </c>
      <c r="D648" s="10">
        <f t="shared" si="111"/>
        <v>0</v>
      </c>
      <c r="E648" s="10">
        <f t="shared" si="112"/>
        <v>0</v>
      </c>
      <c r="F648" s="10">
        <f t="shared" si="113"/>
        <v>0</v>
      </c>
      <c r="G648" s="11">
        <f t="shared" si="114"/>
        <v>0</v>
      </c>
      <c r="I648" s="92">
        <f t="shared" si="107"/>
      </c>
      <c r="L648" s="9">
        <v>261</v>
      </c>
      <c r="M648" s="9" t="s">
        <v>35</v>
      </c>
      <c r="N648" s="10">
        <f t="shared" si="109"/>
        <v>0</v>
      </c>
      <c r="O648" s="10">
        <f t="shared" si="115"/>
        <v>0</v>
      </c>
      <c r="P648" s="10">
        <f t="shared" si="116"/>
        <v>0</v>
      </c>
      <c r="Q648" s="11">
        <f t="shared" si="118"/>
        <v>0</v>
      </c>
      <c r="R648" s="9"/>
      <c r="S648" s="92">
        <f t="shared" si="117"/>
      </c>
      <c r="V648" s="104">
        <f t="shared" si="110"/>
        <v>0</v>
      </c>
    </row>
    <row r="649" spans="2:22" ht="12.75">
      <c r="B649" s="9">
        <v>262</v>
      </c>
      <c r="C649" s="9" t="s">
        <v>36</v>
      </c>
      <c r="D649" s="10">
        <f t="shared" si="111"/>
        <v>0</v>
      </c>
      <c r="E649" s="10">
        <f t="shared" si="112"/>
        <v>0</v>
      </c>
      <c r="F649" s="10">
        <f t="shared" si="113"/>
        <v>0</v>
      </c>
      <c r="G649" s="11">
        <f t="shared" si="114"/>
        <v>0</v>
      </c>
      <c r="I649" s="92">
        <f t="shared" si="107"/>
      </c>
      <c r="L649" s="9">
        <v>262</v>
      </c>
      <c r="M649" s="9" t="s">
        <v>36</v>
      </c>
      <c r="N649" s="10">
        <f t="shared" si="109"/>
        <v>0</v>
      </c>
      <c r="O649" s="10">
        <f t="shared" si="115"/>
        <v>0</v>
      </c>
      <c r="P649" s="10">
        <f t="shared" si="116"/>
        <v>0</v>
      </c>
      <c r="Q649" s="11">
        <f t="shared" si="118"/>
        <v>0</v>
      </c>
      <c r="R649" s="9"/>
      <c r="S649" s="92">
        <f t="shared" si="117"/>
      </c>
      <c r="V649" s="104">
        <f t="shared" si="110"/>
        <v>0</v>
      </c>
    </row>
    <row r="650" spans="2:22" ht="12.75">
      <c r="B650" s="9">
        <v>263</v>
      </c>
      <c r="C650" s="9" t="s">
        <v>37</v>
      </c>
      <c r="D650" s="10">
        <f t="shared" si="111"/>
        <v>0</v>
      </c>
      <c r="E650" s="10">
        <f t="shared" si="112"/>
        <v>0</v>
      </c>
      <c r="F650" s="10">
        <f t="shared" si="113"/>
        <v>0</v>
      </c>
      <c r="G650" s="11">
        <f t="shared" si="114"/>
        <v>0</v>
      </c>
      <c r="I650" s="92">
        <f t="shared" si="107"/>
      </c>
      <c r="L650" s="9">
        <v>263</v>
      </c>
      <c r="M650" s="9" t="s">
        <v>37</v>
      </c>
      <c r="N650" s="10">
        <f t="shared" si="109"/>
        <v>0</v>
      </c>
      <c r="O650" s="10">
        <f t="shared" si="115"/>
        <v>0</v>
      </c>
      <c r="P650" s="10">
        <f t="shared" si="116"/>
        <v>0</v>
      </c>
      <c r="Q650" s="11">
        <f t="shared" si="118"/>
        <v>0</v>
      </c>
      <c r="R650" s="9"/>
      <c r="S650" s="92">
        <f t="shared" si="117"/>
      </c>
      <c r="V650" s="104">
        <f t="shared" si="110"/>
        <v>0</v>
      </c>
    </row>
    <row r="651" spans="2:22" ht="12.75">
      <c r="B651" s="9">
        <v>264</v>
      </c>
      <c r="C651" s="9" t="s">
        <v>38</v>
      </c>
      <c r="D651" s="10">
        <f t="shared" si="111"/>
        <v>0</v>
      </c>
      <c r="E651" s="10">
        <f t="shared" si="112"/>
        <v>0</v>
      </c>
      <c r="F651" s="10">
        <f t="shared" si="113"/>
        <v>0</v>
      </c>
      <c r="G651" s="11">
        <f t="shared" si="114"/>
        <v>0</v>
      </c>
      <c r="I651" s="92">
        <f t="shared" si="107"/>
      </c>
      <c r="L651" s="9">
        <v>264</v>
      </c>
      <c r="M651" s="9" t="s">
        <v>38</v>
      </c>
      <c r="N651" s="10">
        <f t="shared" si="109"/>
        <v>0</v>
      </c>
      <c r="O651" s="10">
        <f t="shared" si="115"/>
        <v>0</v>
      </c>
      <c r="P651" s="10">
        <f t="shared" si="116"/>
        <v>0</v>
      </c>
      <c r="Q651" s="11">
        <f t="shared" si="118"/>
        <v>0</v>
      </c>
      <c r="R651" s="9"/>
      <c r="S651" s="92">
        <f t="shared" si="117"/>
      </c>
      <c r="V651" s="104">
        <f t="shared" si="110"/>
        <v>0</v>
      </c>
    </row>
    <row r="652" spans="2:23" ht="12.75">
      <c r="B652" s="84">
        <v>265</v>
      </c>
      <c r="C652" s="84" t="s">
        <v>27</v>
      </c>
      <c r="D652" s="85">
        <f t="shared" si="111"/>
        <v>0</v>
      </c>
      <c r="E652" s="85">
        <f t="shared" si="112"/>
        <v>0</v>
      </c>
      <c r="F652" s="85">
        <f t="shared" si="113"/>
        <v>0</v>
      </c>
      <c r="G652" s="86">
        <f t="shared" si="114"/>
        <v>0</v>
      </c>
      <c r="I652" s="92">
        <f t="shared" si="107"/>
      </c>
      <c r="J652" s="128">
        <f>(SUM(D640:D651)+J640)</f>
        <v>53859.308983714676</v>
      </c>
      <c r="K652">
        <v>22</v>
      </c>
      <c r="L652" s="84">
        <v>265</v>
      </c>
      <c r="M652" s="84" t="s">
        <v>27</v>
      </c>
      <c r="N652" s="85">
        <f t="shared" si="109"/>
        <v>0</v>
      </c>
      <c r="O652" s="85">
        <f t="shared" si="115"/>
        <v>0</v>
      </c>
      <c r="P652" s="85">
        <f t="shared" si="116"/>
        <v>0</v>
      </c>
      <c r="Q652" s="86">
        <f t="shared" si="118"/>
        <v>0</v>
      </c>
      <c r="R652" s="68">
        <f>IF((Q651-P652)&gt;Energie!S32,Energie!S32,(Q651-P652))</f>
        <v>0</v>
      </c>
      <c r="S652" s="92">
        <f t="shared" si="117"/>
      </c>
      <c r="T652" s="128"/>
      <c r="U652" s="128">
        <f>(SUM(N640:N651)+R652+U640)</f>
        <v>482946.8702407023</v>
      </c>
      <c r="V652" s="104">
        <f t="shared" si="110"/>
        <v>0</v>
      </c>
      <c r="W652" s="104">
        <f>SUM(V640:V651)</f>
        <v>0</v>
      </c>
    </row>
    <row r="653" spans="2:22" ht="12.75">
      <c r="B653" s="9">
        <v>266</v>
      </c>
      <c r="C653" s="9" t="s">
        <v>28</v>
      </c>
      <c r="D653" s="10">
        <f t="shared" si="111"/>
        <v>0</v>
      </c>
      <c r="E653" s="10">
        <f t="shared" si="112"/>
        <v>0</v>
      </c>
      <c r="F653" s="10">
        <f t="shared" si="113"/>
        <v>0</v>
      </c>
      <c r="G653" s="11">
        <f t="shared" si="114"/>
        <v>0</v>
      </c>
      <c r="I653" s="92">
        <f t="shared" si="107"/>
      </c>
      <c r="L653" s="9">
        <v>266</v>
      </c>
      <c r="M653" s="9" t="s">
        <v>28</v>
      </c>
      <c r="N653" s="10">
        <f t="shared" si="109"/>
        <v>0</v>
      </c>
      <c r="O653" s="10">
        <f t="shared" si="115"/>
        <v>0</v>
      </c>
      <c r="P653" s="10">
        <f t="shared" si="116"/>
        <v>0</v>
      </c>
      <c r="Q653" s="11">
        <f t="shared" si="118"/>
        <v>0</v>
      </c>
      <c r="R653" s="9"/>
      <c r="S653" s="92">
        <f t="shared" si="117"/>
      </c>
      <c r="V653" s="104">
        <f t="shared" si="110"/>
        <v>0</v>
      </c>
    </row>
    <row r="654" spans="2:22" ht="12.75">
      <c r="B654" s="9">
        <v>267</v>
      </c>
      <c r="C654" s="9" t="s">
        <v>29</v>
      </c>
      <c r="D654" s="10">
        <f t="shared" si="111"/>
        <v>0</v>
      </c>
      <c r="E654" s="10">
        <f t="shared" si="112"/>
        <v>0</v>
      </c>
      <c r="F654" s="10">
        <f t="shared" si="113"/>
        <v>0</v>
      </c>
      <c r="G654" s="11">
        <f t="shared" si="114"/>
        <v>0</v>
      </c>
      <c r="I654" s="92">
        <f t="shared" si="107"/>
      </c>
      <c r="L654" s="9">
        <v>267</v>
      </c>
      <c r="M654" s="9" t="s">
        <v>29</v>
      </c>
      <c r="N654" s="10">
        <f t="shared" si="109"/>
        <v>0</v>
      </c>
      <c r="O654" s="10">
        <f t="shared" si="115"/>
        <v>0</v>
      </c>
      <c r="P654" s="10">
        <f t="shared" si="116"/>
        <v>0</v>
      </c>
      <c r="Q654" s="11">
        <f t="shared" si="118"/>
        <v>0</v>
      </c>
      <c r="R654" s="9"/>
      <c r="S654" s="92">
        <f t="shared" si="117"/>
      </c>
      <c r="V654" s="104">
        <f t="shared" si="110"/>
        <v>0</v>
      </c>
    </row>
    <row r="655" spans="2:22" ht="12.75">
      <c r="B655" s="9">
        <v>268</v>
      </c>
      <c r="C655" s="9" t="s">
        <v>30</v>
      </c>
      <c r="D655" s="10">
        <f t="shared" si="111"/>
        <v>0</v>
      </c>
      <c r="E655" s="10">
        <f t="shared" si="112"/>
        <v>0</v>
      </c>
      <c r="F655" s="10">
        <f t="shared" si="113"/>
        <v>0</v>
      </c>
      <c r="G655" s="11">
        <f t="shared" si="114"/>
        <v>0</v>
      </c>
      <c r="I655" s="92">
        <f aca="true" t="shared" si="119" ref="I655:I718">IF(E655&gt;0,B655,"")</f>
      </c>
      <c r="L655" s="9">
        <v>268</v>
      </c>
      <c r="M655" s="9" t="s">
        <v>30</v>
      </c>
      <c r="N655" s="10">
        <f t="shared" si="109"/>
        <v>0</v>
      </c>
      <c r="O655" s="10">
        <f t="shared" si="115"/>
        <v>0</v>
      </c>
      <c r="P655" s="10">
        <f t="shared" si="116"/>
        <v>0</v>
      </c>
      <c r="Q655" s="11">
        <f t="shared" si="118"/>
        <v>0</v>
      </c>
      <c r="R655" s="9"/>
      <c r="S655" s="92">
        <f t="shared" si="117"/>
      </c>
      <c r="V655" s="104">
        <f t="shared" si="110"/>
        <v>0</v>
      </c>
    </row>
    <row r="656" spans="2:22" ht="12.75">
      <c r="B656" s="9">
        <v>269</v>
      </c>
      <c r="C656" s="9" t="s">
        <v>31</v>
      </c>
      <c r="D656" s="10">
        <f t="shared" si="111"/>
        <v>0</v>
      </c>
      <c r="E656" s="10">
        <f t="shared" si="112"/>
        <v>0</v>
      </c>
      <c r="F656" s="10">
        <f t="shared" si="113"/>
        <v>0</v>
      </c>
      <c r="G656" s="11">
        <f t="shared" si="114"/>
        <v>0</v>
      </c>
      <c r="I656" s="92">
        <f t="shared" si="119"/>
      </c>
      <c r="L656" s="9">
        <v>269</v>
      </c>
      <c r="M656" s="9" t="s">
        <v>31</v>
      </c>
      <c r="N656" s="10">
        <f t="shared" si="109"/>
        <v>0</v>
      </c>
      <c r="O656" s="10">
        <f t="shared" si="115"/>
        <v>0</v>
      </c>
      <c r="P656" s="10">
        <f t="shared" si="116"/>
        <v>0</v>
      </c>
      <c r="Q656" s="11">
        <f t="shared" si="118"/>
        <v>0</v>
      </c>
      <c r="R656" s="9"/>
      <c r="S656" s="92">
        <f t="shared" si="117"/>
      </c>
      <c r="V656" s="104">
        <f t="shared" si="110"/>
        <v>0</v>
      </c>
    </row>
    <row r="657" spans="2:22" ht="12.75">
      <c r="B657" s="9">
        <v>270</v>
      </c>
      <c r="C657" s="9" t="s">
        <v>32</v>
      </c>
      <c r="D657" s="10">
        <f t="shared" si="111"/>
        <v>0</v>
      </c>
      <c r="E657" s="10">
        <f t="shared" si="112"/>
        <v>0</v>
      </c>
      <c r="F657" s="10">
        <f t="shared" si="113"/>
        <v>0</v>
      </c>
      <c r="G657" s="11">
        <f t="shared" si="114"/>
        <v>0</v>
      </c>
      <c r="I657" s="92">
        <f t="shared" si="119"/>
      </c>
      <c r="L657" s="9">
        <v>270</v>
      </c>
      <c r="M657" s="9" t="s">
        <v>32</v>
      </c>
      <c r="N657" s="10">
        <f t="shared" si="109"/>
        <v>0</v>
      </c>
      <c r="O657" s="10">
        <f t="shared" si="115"/>
        <v>0</v>
      </c>
      <c r="P657" s="10">
        <f t="shared" si="116"/>
        <v>0</v>
      </c>
      <c r="Q657" s="11">
        <f t="shared" si="118"/>
        <v>0</v>
      </c>
      <c r="R657" s="9"/>
      <c r="S657" s="92">
        <f t="shared" si="117"/>
      </c>
      <c r="V657" s="104">
        <f t="shared" si="110"/>
        <v>0</v>
      </c>
    </row>
    <row r="658" spans="2:22" ht="12.75">
      <c r="B658" s="9">
        <v>271</v>
      </c>
      <c r="C658" s="9" t="s">
        <v>33</v>
      </c>
      <c r="D658" s="10">
        <f t="shared" si="111"/>
        <v>0</v>
      </c>
      <c r="E658" s="10">
        <f t="shared" si="112"/>
        <v>0</v>
      </c>
      <c r="F658" s="10">
        <f t="shared" si="113"/>
        <v>0</v>
      </c>
      <c r="G658" s="11">
        <f t="shared" si="114"/>
        <v>0</v>
      </c>
      <c r="I658" s="92">
        <f t="shared" si="119"/>
      </c>
      <c r="L658" s="9">
        <v>271</v>
      </c>
      <c r="M658" s="9" t="s">
        <v>33</v>
      </c>
      <c r="N658" s="10">
        <f t="shared" si="109"/>
        <v>0</v>
      </c>
      <c r="O658" s="10">
        <f t="shared" si="115"/>
        <v>0</v>
      </c>
      <c r="P658" s="10">
        <f t="shared" si="116"/>
        <v>0</v>
      </c>
      <c r="Q658" s="11">
        <f t="shared" si="118"/>
        <v>0</v>
      </c>
      <c r="R658" s="9"/>
      <c r="S658" s="92">
        <f t="shared" si="117"/>
      </c>
      <c r="V658" s="104">
        <f t="shared" si="110"/>
        <v>0</v>
      </c>
    </row>
    <row r="659" spans="2:22" ht="12.75">
      <c r="B659" s="9">
        <v>272</v>
      </c>
      <c r="C659" s="9" t="s">
        <v>34</v>
      </c>
      <c r="D659" s="10">
        <f t="shared" si="111"/>
        <v>0</v>
      </c>
      <c r="E659" s="10">
        <f t="shared" si="112"/>
        <v>0</v>
      </c>
      <c r="F659" s="10">
        <f t="shared" si="113"/>
        <v>0</v>
      </c>
      <c r="G659" s="11">
        <f t="shared" si="114"/>
        <v>0</v>
      </c>
      <c r="I659" s="92">
        <f t="shared" si="119"/>
      </c>
      <c r="L659" s="9">
        <v>272</v>
      </c>
      <c r="M659" s="9" t="s">
        <v>34</v>
      </c>
      <c r="N659" s="10">
        <f t="shared" si="109"/>
        <v>0</v>
      </c>
      <c r="O659" s="10">
        <f t="shared" si="115"/>
        <v>0</v>
      </c>
      <c r="P659" s="10">
        <f t="shared" si="116"/>
        <v>0</v>
      </c>
      <c r="Q659" s="11">
        <f t="shared" si="118"/>
        <v>0</v>
      </c>
      <c r="R659" s="9"/>
      <c r="S659" s="92">
        <f t="shared" si="117"/>
      </c>
      <c r="V659" s="104">
        <f t="shared" si="110"/>
        <v>0</v>
      </c>
    </row>
    <row r="660" spans="2:22" ht="12.75">
      <c r="B660" s="9">
        <v>273</v>
      </c>
      <c r="C660" s="9" t="s">
        <v>35</v>
      </c>
      <c r="D660" s="10">
        <f t="shared" si="111"/>
        <v>0</v>
      </c>
      <c r="E660" s="10">
        <f t="shared" si="112"/>
        <v>0</v>
      </c>
      <c r="F660" s="10">
        <f t="shared" si="113"/>
        <v>0</v>
      </c>
      <c r="G660" s="11">
        <f t="shared" si="114"/>
        <v>0</v>
      </c>
      <c r="I660" s="92">
        <f t="shared" si="119"/>
      </c>
      <c r="L660" s="9">
        <v>273</v>
      </c>
      <c r="M660" s="9" t="s">
        <v>35</v>
      </c>
      <c r="N660" s="10">
        <f t="shared" si="109"/>
        <v>0</v>
      </c>
      <c r="O660" s="10">
        <f t="shared" si="115"/>
        <v>0</v>
      </c>
      <c r="P660" s="10">
        <f t="shared" si="116"/>
        <v>0</v>
      </c>
      <c r="Q660" s="11">
        <f t="shared" si="118"/>
        <v>0</v>
      </c>
      <c r="R660" s="9"/>
      <c r="S660" s="92">
        <f t="shared" si="117"/>
      </c>
      <c r="V660" s="104">
        <f t="shared" si="110"/>
        <v>0</v>
      </c>
    </row>
    <row r="661" spans="2:22" ht="12.75">
      <c r="B661" s="9">
        <v>274</v>
      </c>
      <c r="C661" s="9" t="s">
        <v>36</v>
      </c>
      <c r="D661" s="10">
        <f t="shared" si="111"/>
        <v>0</v>
      </c>
      <c r="E661" s="10">
        <f t="shared" si="112"/>
        <v>0</v>
      </c>
      <c r="F661" s="10">
        <f t="shared" si="113"/>
        <v>0</v>
      </c>
      <c r="G661" s="11">
        <f t="shared" si="114"/>
        <v>0</v>
      </c>
      <c r="I661" s="92">
        <f t="shared" si="119"/>
      </c>
      <c r="L661" s="9">
        <v>274</v>
      </c>
      <c r="M661" s="9" t="s">
        <v>36</v>
      </c>
      <c r="N661" s="10">
        <f t="shared" si="109"/>
        <v>0</v>
      </c>
      <c r="O661" s="10">
        <f t="shared" si="115"/>
        <v>0</v>
      </c>
      <c r="P661" s="10">
        <f t="shared" si="116"/>
        <v>0</v>
      </c>
      <c r="Q661" s="11">
        <f t="shared" si="118"/>
        <v>0</v>
      </c>
      <c r="R661" s="9"/>
      <c r="S661" s="92">
        <f t="shared" si="117"/>
      </c>
      <c r="V661" s="104">
        <f t="shared" si="110"/>
        <v>0</v>
      </c>
    </row>
    <row r="662" spans="2:22" ht="12.75">
      <c r="B662" s="9">
        <v>275</v>
      </c>
      <c r="C662" s="9" t="s">
        <v>37</v>
      </c>
      <c r="D662" s="10">
        <f t="shared" si="111"/>
        <v>0</v>
      </c>
      <c r="E662" s="10">
        <f t="shared" si="112"/>
        <v>0</v>
      </c>
      <c r="F662" s="10">
        <f t="shared" si="113"/>
        <v>0</v>
      </c>
      <c r="G662" s="11">
        <f t="shared" si="114"/>
        <v>0</v>
      </c>
      <c r="I662" s="92">
        <f t="shared" si="119"/>
      </c>
      <c r="L662" s="9">
        <v>275</v>
      </c>
      <c r="M662" s="9" t="s">
        <v>37</v>
      </c>
      <c r="N662" s="10">
        <f t="shared" si="109"/>
        <v>0</v>
      </c>
      <c r="O662" s="10">
        <f t="shared" si="115"/>
        <v>0</v>
      </c>
      <c r="P662" s="10">
        <f t="shared" si="116"/>
        <v>0</v>
      </c>
      <c r="Q662" s="11">
        <f t="shared" si="118"/>
        <v>0</v>
      </c>
      <c r="R662" s="9"/>
      <c r="S662" s="92">
        <f t="shared" si="117"/>
      </c>
      <c r="V662" s="104">
        <f t="shared" si="110"/>
        <v>0</v>
      </c>
    </row>
    <row r="663" spans="2:22" ht="12.75">
      <c r="B663" s="9">
        <v>276</v>
      </c>
      <c r="C663" s="9" t="s">
        <v>38</v>
      </c>
      <c r="D663" s="10">
        <f t="shared" si="111"/>
        <v>0</v>
      </c>
      <c r="E663" s="10">
        <f t="shared" si="112"/>
        <v>0</v>
      </c>
      <c r="F663" s="10">
        <f t="shared" si="113"/>
        <v>0</v>
      </c>
      <c r="G663" s="11">
        <f t="shared" si="114"/>
        <v>0</v>
      </c>
      <c r="I663" s="92">
        <f t="shared" si="119"/>
      </c>
      <c r="L663" s="9">
        <v>276</v>
      </c>
      <c r="M663" s="9" t="s">
        <v>38</v>
      </c>
      <c r="N663" s="10">
        <f t="shared" si="109"/>
        <v>0</v>
      </c>
      <c r="O663" s="10">
        <f t="shared" si="115"/>
        <v>0</v>
      </c>
      <c r="P663" s="10">
        <f t="shared" si="116"/>
        <v>0</v>
      </c>
      <c r="Q663" s="11">
        <f t="shared" si="118"/>
        <v>0</v>
      </c>
      <c r="R663" s="9"/>
      <c r="S663" s="92">
        <f t="shared" si="117"/>
      </c>
      <c r="V663" s="104">
        <f t="shared" si="110"/>
        <v>0</v>
      </c>
    </row>
    <row r="664" spans="2:23" ht="12.75">
      <c r="B664" s="84">
        <v>277</v>
      </c>
      <c r="C664" s="84" t="s">
        <v>27</v>
      </c>
      <c r="D664" s="85">
        <f t="shared" si="111"/>
        <v>0</v>
      </c>
      <c r="E664" s="85">
        <f t="shared" si="112"/>
        <v>0</v>
      </c>
      <c r="F664" s="85">
        <f t="shared" si="113"/>
        <v>0</v>
      </c>
      <c r="G664" s="86">
        <f t="shared" si="114"/>
        <v>0</v>
      </c>
      <c r="I664" s="92">
        <f t="shared" si="119"/>
      </c>
      <c r="J664" s="128">
        <f>(SUM(D652:D663)+J652)</f>
        <v>53859.308983714676</v>
      </c>
      <c r="K664">
        <v>23</v>
      </c>
      <c r="L664" s="84">
        <v>277</v>
      </c>
      <c r="M664" s="84" t="s">
        <v>27</v>
      </c>
      <c r="N664" s="85">
        <f t="shared" si="109"/>
        <v>0</v>
      </c>
      <c r="O664" s="85">
        <f t="shared" si="115"/>
        <v>0</v>
      </c>
      <c r="P664" s="85">
        <f t="shared" si="116"/>
        <v>0</v>
      </c>
      <c r="Q664" s="86">
        <f t="shared" si="118"/>
        <v>0</v>
      </c>
      <c r="R664" s="68">
        <f>IF((Q663-P664)&gt;Energie!S33,Energie!S33,(Q663-P664))</f>
        <v>0</v>
      </c>
      <c r="S664" s="92">
        <f t="shared" si="117"/>
      </c>
      <c r="T664" s="128"/>
      <c r="U664" s="128">
        <f>(SUM(N652:N663)+R664+U652)</f>
        <v>482946.8702407023</v>
      </c>
      <c r="V664" s="104">
        <f t="shared" si="110"/>
        <v>0</v>
      </c>
      <c r="W664" s="104">
        <f>SUM(V652:V663)</f>
        <v>0</v>
      </c>
    </row>
    <row r="665" spans="2:22" ht="12.75">
      <c r="B665" s="9">
        <v>278</v>
      </c>
      <c r="C665" s="9" t="s">
        <v>28</v>
      </c>
      <c r="D665" s="10">
        <f t="shared" si="111"/>
        <v>0</v>
      </c>
      <c r="E665" s="10">
        <f t="shared" si="112"/>
        <v>0</v>
      </c>
      <c r="F665" s="10">
        <f t="shared" si="113"/>
        <v>0</v>
      </c>
      <c r="G665" s="11">
        <f t="shared" si="114"/>
        <v>0</v>
      </c>
      <c r="I665" s="92">
        <f t="shared" si="119"/>
      </c>
      <c r="L665" s="9">
        <v>278</v>
      </c>
      <c r="M665" s="9" t="s">
        <v>28</v>
      </c>
      <c r="N665" s="10">
        <f t="shared" si="109"/>
        <v>0</v>
      </c>
      <c r="O665" s="10">
        <f t="shared" si="115"/>
        <v>0</v>
      </c>
      <c r="P665" s="10">
        <f t="shared" si="116"/>
        <v>0</v>
      </c>
      <c r="Q665" s="11">
        <f t="shared" si="118"/>
        <v>0</v>
      </c>
      <c r="R665" s="9"/>
      <c r="S665" s="92">
        <f t="shared" si="117"/>
      </c>
      <c r="V665" s="104">
        <f t="shared" si="110"/>
        <v>0</v>
      </c>
    </row>
    <row r="666" spans="2:22" ht="12.75">
      <c r="B666" s="9">
        <v>279</v>
      </c>
      <c r="C666" s="9" t="s">
        <v>29</v>
      </c>
      <c r="D666" s="10">
        <f t="shared" si="111"/>
        <v>0</v>
      </c>
      <c r="E666" s="10">
        <f t="shared" si="112"/>
        <v>0</v>
      </c>
      <c r="F666" s="10">
        <f t="shared" si="113"/>
        <v>0</v>
      </c>
      <c r="G666" s="11">
        <f t="shared" si="114"/>
        <v>0</v>
      </c>
      <c r="I666" s="92">
        <f t="shared" si="119"/>
      </c>
      <c r="L666" s="9">
        <v>279</v>
      </c>
      <c r="M666" s="9" t="s">
        <v>29</v>
      </c>
      <c r="N666" s="10">
        <f t="shared" si="109"/>
        <v>0</v>
      </c>
      <c r="O666" s="10">
        <f t="shared" si="115"/>
        <v>0</v>
      </c>
      <c r="P666" s="10">
        <f t="shared" si="116"/>
        <v>0</v>
      </c>
      <c r="Q666" s="11">
        <f t="shared" si="118"/>
        <v>0</v>
      </c>
      <c r="R666" s="9"/>
      <c r="S666" s="92">
        <f t="shared" si="117"/>
      </c>
      <c r="V666" s="104">
        <f t="shared" si="110"/>
        <v>0</v>
      </c>
    </row>
    <row r="667" spans="2:22" ht="12.75">
      <c r="B667" s="9">
        <v>280</v>
      </c>
      <c r="C667" s="9" t="s">
        <v>30</v>
      </c>
      <c r="D667" s="10">
        <f t="shared" si="111"/>
        <v>0</v>
      </c>
      <c r="E667" s="10">
        <f t="shared" si="112"/>
        <v>0</v>
      </c>
      <c r="F667" s="10">
        <f t="shared" si="113"/>
        <v>0</v>
      </c>
      <c r="G667" s="11">
        <f t="shared" si="114"/>
        <v>0</v>
      </c>
      <c r="I667" s="92">
        <f t="shared" si="119"/>
      </c>
      <c r="L667" s="9">
        <v>280</v>
      </c>
      <c r="M667" s="9" t="s">
        <v>30</v>
      </c>
      <c r="N667" s="10">
        <f t="shared" si="109"/>
        <v>0</v>
      </c>
      <c r="O667" s="10">
        <f t="shared" si="115"/>
        <v>0</v>
      </c>
      <c r="P667" s="10">
        <f t="shared" si="116"/>
        <v>0</v>
      </c>
      <c r="Q667" s="11">
        <f t="shared" si="118"/>
        <v>0</v>
      </c>
      <c r="R667" s="9"/>
      <c r="S667" s="92">
        <f t="shared" si="117"/>
      </c>
      <c r="V667" s="104">
        <f t="shared" si="110"/>
        <v>0</v>
      </c>
    </row>
    <row r="668" spans="2:22" ht="12.75">
      <c r="B668" s="9">
        <v>281</v>
      </c>
      <c r="C668" s="9" t="s">
        <v>31</v>
      </c>
      <c r="D668" s="10">
        <f t="shared" si="111"/>
        <v>0</v>
      </c>
      <c r="E668" s="10">
        <f t="shared" si="112"/>
        <v>0</v>
      </c>
      <c r="F668" s="10">
        <f t="shared" si="113"/>
        <v>0</v>
      </c>
      <c r="G668" s="11">
        <f t="shared" si="114"/>
        <v>0</v>
      </c>
      <c r="I668" s="92">
        <f t="shared" si="119"/>
      </c>
      <c r="L668" s="9">
        <v>281</v>
      </c>
      <c r="M668" s="9" t="s">
        <v>31</v>
      </c>
      <c r="N668" s="10">
        <f t="shared" si="109"/>
        <v>0</v>
      </c>
      <c r="O668" s="10">
        <f t="shared" si="115"/>
        <v>0</v>
      </c>
      <c r="P668" s="10">
        <f t="shared" si="116"/>
        <v>0</v>
      </c>
      <c r="Q668" s="11">
        <f t="shared" si="118"/>
        <v>0</v>
      </c>
      <c r="R668" s="9"/>
      <c r="S668" s="92">
        <f t="shared" si="117"/>
      </c>
      <c r="V668" s="104">
        <f t="shared" si="110"/>
        <v>0</v>
      </c>
    </row>
    <row r="669" spans="2:22" ht="12.75">
      <c r="B669" s="9">
        <v>282</v>
      </c>
      <c r="C669" s="9" t="s">
        <v>32</v>
      </c>
      <c r="D669" s="10">
        <f t="shared" si="111"/>
        <v>0</v>
      </c>
      <c r="E669" s="10">
        <f t="shared" si="112"/>
        <v>0</v>
      </c>
      <c r="F669" s="10">
        <f t="shared" si="113"/>
        <v>0</v>
      </c>
      <c r="G669" s="11">
        <f t="shared" si="114"/>
        <v>0</v>
      </c>
      <c r="I669" s="92">
        <f t="shared" si="119"/>
      </c>
      <c r="L669" s="9">
        <v>282</v>
      </c>
      <c r="M669" s="9" t="s">
        <v>32</v>
      </c>
      <c r="N669" s="10">
        <f t="shared" si="109"/>
        <v>0</v>
      </c>
      <c r="O669" s="10">
        <f t="shared" si="115"/>
        <v>0</v>
      </c>
      <c r="P669" s="10">
        <f t="shared" si="116"/>
        <v>0</v>
      </c>
      <c r="Q669" s="11">
        <f t="shared" si="118"/>
        <v>0</v>
      </c>
      <c r="R669" s="9"/>
      <c r="S669" s="92">
        <f t="shared" si="117"/>
      </c>
      <c r="V669" s="104">
        <f t="shared" si="110"/>
        <v>0</v>
      </c>
    </row>
    <row r="670" spans="2:22" ht="12.75">
      <c r="B670" s="9">
        <v>283</v>
      </c>
      <c r="C670" s="9" t="s">
        <v>33</v>
      </c>
      <c r="D670" s="10">
        <f t="shared" si="111"/>
        <v>0</v>
      </c>
      <c r="E670" s="10">
        <f t="shared" si="112"/>
        <v>0</v>
      </c>
      <c r="F670" s="10">
        <f t="shared" si="113"/>
        <v>0</v>
      </c>
      <c r="G670" s="11">
        <f t="shared" si="114"/>
        <v>0</v>
      </c>
      <c r="I670" s="92">
        <f t="shared" si="119"/>
      </c>
      <c r="L670" s="9">
        <v>283</v>
      </c>
      <c r="M670" s="9" t="s">
        <v>33</v>
      </c>
      <c r="N670" s="10">
        <f t="shared" si="109"/>
        <v>0</v>
      </c>
      <c r="O670" s="10">
        <f t="shared" si="115"/>
        <v>0</v>
      </c>
      <c r="P670" s="10">
        <f t="shared" si="116"/>
        <v>0</v>
      </c>
      <c r="Q670" s="11">
        <f t="shared" si="118"/>
        <v>0</v>
      </c>
      <c r="R670" s="9"/>
      <c r="S670" s="92">
        <f t="shared" si="117"/>
      </c>
      <c r="V670" s="104">
        <f t="shared" si="110"/>
        <v>0</v>
      </c>
    </row>
    <row r="671" spans="2:22" ht="12.75">
      <c r="B671" s="9">
        <v>284</v>
      </c>
      <c r="C671" s="9" t="s">
        <v>34</v>
      </c>
      <c r="D671" s="10">
        <f t="shared" si="111"/>
        <v>0</v>
      </c>
      <c r="E671" s="10">
        <f t="shared" si="112"/>
        <v>0</v>
      </c>
      <c r="F671" s="10">
        <f t="shared" si="113"/>
        <v>0</v>
      </c>
      <c r="G671" s="11">
        <f t="shared" si="114"/>
        <v>0</v>
      </c>
      <c r="I671" s="92">
        <f t="shared" si="119"/>
      </c>
      <c r="L671" s="9">
        <v>284</v>
      </c>
      <c r="M671" s="9" t="s">
        <v>34</v>
      </c>
      <c r="N671" s="10">
        <f t="shared" si="109"/>
        <v>0</v>
      </c>
      <c r="O671" s="10">
        <f t="shared" si="115"/>
        <v>0</v>
      </c>
      <c r="P671" s="10">
        <f t="shared" si="116"/>
        <v>0</v>
      </c>
      <c r="Q671" s="11">
        <f t="shared" si="118"/>
        <v>0</v>
      </c>
      <c r="R671" s="9"/>
      <c r="S671" s="92">
        <f t="shared" si="117"/>
      </c>
      <c r="V671" s="104">
        <f t="shared" si="110"/>
        <v>0</v>
      </c>
    </row>
    <row r="672" spans="2:22" ht="12.75">
      <c r="B672" s="9">
        <v>285</v>
      </c>
      <c r="C672" s="9" t="s">
        <v>35</v>
      </c>
      <c r="D672" s="10">
        <f t="shared" si="111"/>
        <v>0</v>
      </c>
      <c r="E672" s="10">
        <f t="shared" si="112"/>
        <v>0</v>
      </c>
      <c r="F672" s="10">
        <f t="shared" si="113"/>
        <v>0</v>
      </c>
      <c r="G672" s="11">
        <f t="shared" si="114"/>
        <v>0</v>
      </c>
      <c r="I672" s="92">
        <f t="shared" si="119"/>
      </c>
      <c r="L672" s="9">
        <v>285</v>
      </c>
      <c r="M672" s="9" t="s">
        <v>35</v>
      </c>
      <c r="N672" s="10">
        <f>IF(Q671&lt;(N$376+D$376),Q671+O672,(N$376+D$376))</f>
        <v>0</v>
      </c>
      <c r="O672" s="10">
        <f t="shared" si="115"/>
        <v>0</v>
      </c>
      <c r="P672" s="10">
        <f t="shared" si="116"/>
        <v>0</v>
      </c>
      <c r="Q672" s="11">
        <f t="shared" si="118"/>
        <v>0</v>
      </c>
      <c r="R672" s="9"/>
      <c r="S672" s="92">
        <f t="shared" si="117"/>
      </c>
      <c r="V672" s="104">
        <f t="shared" si="110"/>
        <v>0</v>
      </c>
    </row>
    <row r="673" spans="2:22" ht="12.75">
      <c r="B673" s="9">
        <v>286</v>
      </c>
      <c r="C673" s="9" t="s">
        <v>36</v>
      </c>
      <c r="D673" s="10">
        <f t="shared" si="111"/>
        <v>0</v>
      </c>
      <c r="E673" s="10">
        <f t="shared" si="112"/>
        <v>0</v>
      </c>
      <c r="F673" s="10">
        <f t="shared" si="113"/>
        <v>0</v>
      </c>
      <c r="G673" s="11">
        <f t="shared" si="114"/>
        <v>0</v>
      </c>
      <c r="I673" s="92">
        <f t="shared" si="119"/>
      </c>
      <c r="L673" s="9">
        <v>286</v>
      </c>
      <c r="M673" s="9" t="s">
        <v>36</v>
      </c>
      <c r="N673" s="10">
        <f aca="true" t="shared" si="120" ref="N673:N701">IF(Q672&lt;(N$376+D$376),Q672+O673,(N$376+D$376))</f>
        <v>0</v>
      </c>
      <c r="O673" s="10">
        <f t="shared" si="115"/>
        <v>0</v>
      </c>
      <c r="P673" s="10">
        <f t="shared" si="116"/>
        <v>0</v>
      </c>
      <c r="Q673" s="11">
        <f t="shared" si="118"/>
        <v>0</v>
      </c>
      <c r="R673" s="9"/>
      <c r="S673" s="92">
        <f t="shared" si="117"/>
      </c>
      <c r="V673" s="104">
        <f t="shared" si="110"/>
        <v>0</v>
      </c>
    </row>
    <row r="674" spans="2:22" ht="12.75">
      <c r="B674" s="9">
        <v>287</v>
      </c>
      <c r="C674" s="9" t="s">
        <v>37</v>
      </c>
      <c r="D674" s="10">
        <f t="shared" si="111"/>
        <v>0</v>
      </c>
      <c r="E674" s="10">
        <f t="shared" si="112"/>
        <v>0</v>
      </c>
      <c r="F674" s="10">
        <f t="shared" si="113"/>
        <v>0</v>
      </c>
      <c r="G674" s="11">
        <f t="shared" si="114"/>
        <v>0</v>
      </c>
      <c r="I674" s="92">
        <f t="shared" si="119"/>
      </c>
      <c r="L674" s="9">
        <v>287</v>
      </c>
      <c r="M674" s="9" t="s">
        <v>37</v>
      </c>
      <c r="N674" s="10">
        <f t="shared" si="120"/>
        <v>0</v>
      </c>
      <c r="O674" s="10">
        <f t="shared" si="115"/>
        <v>0</v>
      </c>
      <c r="P674" s="10">
        <f t="shared" si="116"/>
        <v>0</v>
      </c>
      <c r="Q674" s="11">
        <f t="shared" si="118"/>
        <v>0</v>
      </c>
      <c r="R674" s="9"/>
      <c r="S674" s="92">
        <f t="shared" si="117"/>
      </c>
      <c r="V674" s="104">
        <f t="shared" si="110"/>
        <v>0</v>
      </c>
    </row>
    <row r="675" spans="2:22" ht="12.75">
      <c r="B675" s="9">
        <v>288</v>
      </c>
      <c r="C675" s="9" t="s">
        <v>38</v>
      </c>
      <c r="D675" s="10">
        <f t="shared" si="111"/>
        <v>0</v>
      </c>
      <c r="E675" s="10">
        <f t="shared" si="112"/>
        <v>0</v>
      </c>
      <c r="F675" s="10">
        <f t="shared" si="113"/>
        <v>0</v>
      </c>
      <c r="G675" s="11">
        <f t="shared" si="114"/>
        <v>0</v>
      </c>
      <c r="I675" s="92">
        <f t="shared" si="119"/>
      </c>
      <c r="L675" s="9">
        <v>288</v>
      </c>
      <c r="M675" s="9" t="s">
        <v>38</v>
      </c>
      <c r="N675" s="10">
        <f t="shared" si="120"/>
        <v>0</v>
      </c>
      <c r="O675" s="10">
        <f t="shared" si="115"/>
        <v>0</v>
      </c>
      <c r="P675" s="10">
        <f t="shared" si="116"/>
        <v>0</v>
      </c>
      <c r="Q675" s="11">
        <f t="shared" si="118"/>
        <v>0</v>
      </c>
      <c r="R675" s="9"/>
      <c r="S675" s="92">
        <f t="shared" si="117"/>
      </c>
      <c r="V675" s="104">
        <f t="shared" si="110"/>
        <v>0</v>
      </c>
    </row>
    <row r="676" spans="2:23" ht="12.75">
      <c r="B676" s="84">
        <v>289</v>
      </c>
      <c r="C676" s="84" t="s">
        <v>27</v>
      </c>
      <c r="D676" s="85">
        <f t="shared" si="111"/>
        <v>0</v>
      </c>
      <c r="E676" s="85">
        <f t="shared" si="112"/>
        <v>0</v>
      </c>
      <c r="F676" s="85">
        <f t="shared" si="113"/>
        <v>0</v>
      </c>
      <c r="G676" s="86">
        <f t="shared" si="114"/>
        <v>0</v>
      </c>
      <c r="I676" s="92">
        <f t="shared" si="119"/>
      </c>
      <c r="J676" s="128">
        <f>(SUM(D664:D675)+J664)</f>
        <v>53859.308983714676</v>
      </c>
      <c r="K676">
        <v>24</v>
      </c>
      <c r="L676" s="84">
        <v>289</v>
      </c>
      <c r="M676" s="84" t="s">
        <v>27</v>
      </c>
      <c r="N676" s="85">
        <f t="shared" si="120"/>
        <v>0</v>
      </c>
      <c r="O676" s="85">
        <f t="shared" si="115"/>
        <v>0</v>
      </c>
      <c r="P676" s="85">
        <f t="shared" si="116"/>
        <v>0</v>
      </c>
      <c r="Q676" s="86">
        <f t="shared" si="118"/>
        <v>0</v>
      </c>
      <c r="R676" s="68">
        <f>IF((Q675-P676)&gt;Energie!S34,Energie!S34,(Q675-P676))</f>
        <v>0</v>
      </c>
      <c r="S676" s="92">
        <f t="shared" si="117"/>
      </c>
      <c r="T676" s="128"/>
      <c r="U676" s="128">
        <f>(SUM(N664:N675)+R676+U664)</f>
        <v>482946.8702407023</v>
      </c>
      <c r="V676" s="104">
        <f t="shared" si="110"/>
        <v>0</v>
      </c>
      <c r="W676" s="104">
        <f>SUM(V664:V675)</f>
        <v>0</v>
      </c>
    </row>
    <row r="677" spans="2:22" ht="12.75">
      <c r="B677" s="9">
        <v>290</v>
      </c>
      <c r="C677" s="9" t="s">
        <v>28</v>
      </c>
      <c r="D677" s="10">
        <f t="shared" si="111"/>
        <v>0</v>
      </c>
      <c r="E677" s="10">
        <f t="shared" si="112"/>
        <v>0</v>
      </c>
      <c r="F677" s="10">
        <f t="shared" si="113"/>
        <v>0</v>
      </c>
      <c r="G677" s="11">
        <f t="shared" si="114"/>
        <v>0</v>
      </c>
      <c r="I677" s="92">
        <f t="shared" si="119"/>
      </c>
      <c r="L677" s="9">
        <v>290</v>
      </c>
      <c r="M677" s="9" t="s">
        <v>28</v>
      </c>
      <c r="N677" s="10">
        <f t="shared" si="120"/>
        <v>0</v>
      </c>
      <c r="O677" s="10">
        <f t="shared" si="115"/>
        <v>0</v>
      </c>
      <c r="P677" s="10">
        <f t="shared" si="116"/>
        <v>0</v>
      </c>
      <c r="Q677" s="11">
        <f t="shared" si="118"/>
        <v>0</v>
      </c>
      <c r="R677" s="9"/>
      <c r="S677" s="92">
        <f t="shared" si="117"/>
      </c>
      <c r="V677" s="104">
        <f t="shared" si="110"/>
        <v>0</v>
      </c>
    </row>
    <row r="678" spans="2:22" ht="12.75">
      <c r="B678" s="9">
        <v>291</v>
      </c>
      <c r="C678" s="9" t="s">
        <v>29</v>
      </c>
      <c r="D678" s="10">
        <f t="shared" si="111"/>
        <v>0</v>
      </c>
      <c r="E678" s="10">
        <f t="shared" si="112"/>
        <v>0</v>
      </c>
      <c r="F678" s="10">
        <f t="shared" si="113"/>
        <v>0</v>
      </c>
      <c r="G678" s="11">
        <f t="shared" si="114"/>
        <v>0</v>
      </c>
      <c r="I678" s="92">
        <f t="shared" si="119"/>
      </c>
      <c r="L678" s="9">
        <v>291</v>
      </c>
      <c r="M678" s="9" t="s">
        <v>29</v>
      </c>
      <c r="N678" s="10">
        <f t="shared" si="120"/>
        <v>0</v>
      </c>
      <c r="O678" s="10">
        <f t="shared" si="115"/>
        <v>0</v>
      </c>
      <c r="P678" s="10">
        <f t="shared" si="116"/>
        <v>0</v>
      </c>
      <c r="Q678" s="11">
        <f t="shared" si="118"/>
        <v>0</v>
      </c>
      <c r="R678" s="9"/>
      <c r="S678" s="92">
        <f t="shared" si="117"/>
      </c>
      <c r="V678" s="104">
        <f t="shared" si="110"/>
        <v>0</v>
      </c>
    </row>
    <row r="679" spans="2:22" ht="12.75">
      <c r="B679" s="9">
        <v>292</v>
      </c>
      <c r="C679" s="9" t="s">
        <v>30</v>
      </c>
      <c r="D679" s="10">
        <f t="shared" si="111"/>
        <v>0</v>
      </c>
      <c r="E679" s="10">
        <f t="shared" si="112"/>
        <v>0</v>
      </c>
      <c r="F679" s="10">
        <f t="shared" si="113"/>
        <v>0</v>
      </c>
      <c r="G679" s="11">
        <f t="shared" si="114"/>
        <v>0</v>
      </c>
      <c r="I679" s="92">
        <f t="shared" si="119"/>
      </c>
      <c r="L679" s="9">
        <v>292</v>
      </c>
      <c r="M679" s="9" t="s">
        <v>30</v>
      </c>
      <c r="N679" s="10">
        <f t="shared" si="120"/>
        <v>0</v>
      </c>
      <c r="O679" s="10">
        <f t="shared" si="115"/>
        <v>0</v>
      </c>
      <c r="P679" s="10">
        <f t="shared" si="116"/>
        <v>0</v>
      </c>
      <c r="Q679" s="11">
        <f t="shared" si="118"/>
        <v>0</v>
      </c>
      <c r="R679" s="9"/>
      <c r="S679" s="92">
        <f t="shared" si="117"/>
      </c>
      <c r="V679" s="104">
        <f t="shared" si="110"/>
        <v>0</v>
      </c>
    </row>
    <row r="680" spans="2:22" ht="12.75">
      <c r="B680" s="9">
        <v>293</v>
      </c>
      <c r="C680" s="9" t="s">
        <v>31</v>
      </c>
      <c r="D680" s="10">
        <f t="shared" si="111"/>
        <v>0</v>
      </c>
      <c r="E680" s="10">
        <f t="shared" si="112"/>
        <v>0</v>
      </c>
      <c r="F680" s="10">
        <f t="shared" si="113"/>
        <v>0</v>
      </c>
      <c r="G680" s="11">
        <f t="shared" si="114"/>
        <v>0</v>
      </c>
      <c r="I680" s="92">
        <f t="shared" si="119"/>
      </c>
      <c r="L680" s="9">
        <v>293</v>
      </c>
      <c r="M680" s="9" t="s">
        <v>31</v>
      </c>
      <c r="N680" s="10">
        <f t="shared" si="120"/>
        <v>0</v>
      </c>
      <c r="O680" s="10">
        <f t="shared" si="115"/>
        <v>0</v>
      </c>
      <c r="P680" s="10">
        <f t="shared" si="116"/>
        <v>0</v>
      </c>
      <c r="Q680" s="11">
        <f t="shared" si="118"/>
        <v>0</v>
      </c>
      <c r="R680" s="9"/>
      <c r="S680" s="92">
        <f t="shared" si="117"/>
      </c>
      <c r="V680" s="104">
        <f t="shared" si="110"/>
        <v>0</v>
      </c>
    </row>
    <row r="681" spans="2:22" ht="12.75">
      <c r="B681" s="9">
        <v>294</v>
      </c>
      <c r="C681" s="9" t="s">
        <v>32</v>
      </c>
      <c r="D681" s="10">
        <f t="shared" si="111"/>
        <v>0</v>
      </c>
      <c r="E681" s="10">
        <f t="shared" si="112"/>
        <v>0</v>
      </c>
      <c r="F681" s="10">
        <f t="shared" si="113"/>
        <v>0</v>
      </c>
      <c r="G681" s="11">
        <f t="shared" si="114"/>
        <v>0</v>
      </c>
      <c r="I681" s="92">
        <f t="shared" si="119"/>
      </c>
      <c r="L681" s="9">
        <v>294</v>
      </c>
      <c r="M681" s="9" t="s">
        <v>32</v>
      </c>
      <c r="N681" s="10">
        <f t="shared" si="120"/>
        <v>0</v>
      </c>
      <c r="O681" s="10">
        <f t="shared" si="115"/>
        <v>0</v>
      </c>
      <c r="P681" s="10">
        <f t="shared" si="116"/>
        <v>0</v>
      </c>
      <c r="Q681" s="11">
        <f t="shared" si="118"/>
        <v>0</v>
      </c>
      <c r="R681" s="9"/>
      <c r="S681" s="92">
        <f t="shared" si="117"/>
      </c>
      <c r="V681" s="104">
        <f t="shared" si="110"/>
        <v>0</v>
      </c>
    </row>
    <row r="682" spans="2:22" ht="12.75">
      <c r="B682" s="9">
        <v>295</v>
      </c>
      <c r="C682" s="9" t="s">
        <v>33</v>
      </c>
      <c r="D682" s="10">
        <f t="shared" si="111"/>
        <v>0</v>
      </c>
      <c r="E682" s="10">
        <f t="shared" si="112"/>
        <v>0</v>
      </c>
      <c r="F682" s="10">
        <f t="shared" si="113"/>
        <v>0</v>
      </c>
      <c r="G682" s="11">
        <f t="shared" si="114"/>
        <v>0</v>
      </c>
      <c r="I682" s="92">
        <f t="shared" si="119"/>
      </c>
      <c r="L682" s="9">
        <v>295</v>
      </c>
      <c r="M682" s="9" t="s">
        <v>33</v>
      </c>
      <c r="N682" s="10">
        <f t="shared" si="120"/>
        <v>0</v>
      </c>
      <c r="O682" s="10">
        <f t="shared" si="115"/>
        <v>0</v>
      </c>
      <c r="P682" s="10">
        <f t="shared" si="116"/>
        <v>0</v>
      </c>
      <c r="Q682" s="11">
        <f t="shared" si="118"/>
        <v>0</v>
      </c>
      <c r="R682" s="9"/>
      <c r="S682" s="92">
        <f t="shared" si="117"/>
      </c>
      <c r="V682" s="104">
        <f t="shared" si="110"/>
        <v>0</v>
      </c>
    </row>
    <row r="683" spans="2:22" ht="12.75">
      <c r="B683" s="9">
        <v>296</v>
      </c>
      <c r="C683" s="9" t="s">
        <v>34</v>
      </c>
      <c r="D683" s="10">
        <f t="shared" si="111"/>
        <v>0</v>
      </c>
      <c r="E683" s="10">
        <f t="shared" si="112"/>
        <v>0</v>
      </c>
      <c r="F683" s="10">
        <f t="shared" si="113"/>
        <v>0</v>
      </c>
      <c r="G683" s="11">
        <f t="shared" si="114"/>
        <v>0</v>
      </c>
      <c r="I683" s="92">
        <f t="shared" si="119"/>
      </c>
      <c r="L683" s="9">
        <v>296</v>
      </c>
      <c r="M683" s="9" t="s">
        <v>34</v>
      </c>
      <c r="N683" s="10">
        <f t="shared" si="120"/>
        <v>0</v>
      </c>
      <c r="O683" s="10">
        <f t="shared" si="115"/>
        <v>0</v>
      </c>
      <c r="P683" s="10">
        <f t="shared" si="116"/>
        <v>0</v>
      </c>
      <c r="Q683" s="11">
        <f t="shared" si="118"/>
        <v>0</v>
      </c>
      <c r="R683" s="9"/>
      <c r="S683" s="92">
        <f t="shared" si="117"/>
      </c>
      <c r="V683" s="104">
        <f t="shared" si="110"/>
        <v>0</v>
      </c>
    </row>
    <row r="684" spans="2:22" ht="12.75">
      <c r="B684" s="9">
        <v>297</v>
      </c>
      <c r="C684" s="9" t="s">
        <v>35</v>
      </c>
      <c r="D684" s="10">
        <f t="shared" si="111"/>
        <v>0</v>
      </c>
      <c r="E684" s="10">
        <f t="shared" si="112"/>
        <v>0</v>
      </c>
      <c r="F684" s="10">
        <f t="shared" si="113"/>
        <v>0</v>
      </c>
      <c r="G684" s="11">
        <f t="shared" si="114"/>
        <v>0</v>
      </c>
      <c r="I684" s="92">
        <f t="shared" si="119"/>
      </c>
      <c r="L684" s="9">
        <v>297</v>
      </c>
      <c r="M684" s="9" t="s">
        <v>35</v>
      </c>
      <c r="N684" s="10">
        <f t="shared" si="120"/>
        <v>0</v>
      </c>
      <c r="O684" s="10">
        <f t="shared" si="115"/>
        <v>0</v>
      </c>
      <c r="P684" s="10">
        <f t="shared" si="116"/>
        <v>0</v>
      </c>
      <c r="Q684" s="11">
        <f t="shared" si="118"/>
        <v>0</v>
      </c>
      <c r="R684" s="9"/>
      <c r="S684" s="92">
        <f t="shared" si="117"/>
      </c>
      <c r="V684" s="104">
        <f t="shared" si="110"/>
        <v>0</v>
      </c>
    </row>
    <row r="685" spans="2:22" ht="12.75">
      <c r="B685" s="9">
        <v>298</v>
      </c>
      <c r="C685" s="9" t="s">
        <v>36</v>
      </c>
      <c r="D685" s="10">
        <f t="shared" si="111"/>
        <v>0</v>
      </c>
      <c r="E685" s="10">
        <f t="shared" si="112"/>
        <v>0</v>
      </c>
      <c r="F685" s="10">
        <f t="shared" si="113"/>
        <v>0</v>
      </c>
      <c r="G685" s="11">
        <f t="shared" si="114"/>
        <v>0</v>
      </c>
      <c r="I685" s="92">
        <f t="shared" si="119"/>
      </c>
      <c r="L685" s="9">
        <v>298</v>
      </c>
      <c r="M685" s="9" t="s">
        <v>36</v>
      </c>
      <c r="N685" s="10">
        <f t="shared" si="120"/>
        <v>0</v>
      </c>
      <c r="O685" s="10">
        <f t="shared" si="115"/>
        <v>0</v>
      </c>
      <c r="P685" s="10">
        <f t="shared" si="116"/>
        <v>0</v>
      </c>
      <c r="Q685" s="11">
        <f t="shared" si="118"/>
        <v>0</v>
      </c>
      <c r="R685" s="9"/>
      <c r="S685" s="92">
        <f t="shared" si="117"/>
      </c>
      <c r="V685" s="104">
        <f t="shared" si="110"/>
        <v>0</v>
      </c>
    </row>
    <row r="686" spans="2:22" ht="12.75">
      <c r="B686" s="9">
        <v>299</v>
      </c>
      <c r="C686" s="9" t="s">
        <v>37</v>
      </c>
      <c r="D686" s="10">
        <f t="shared" si="111"/>
        <v>0</v>
      </c>
      <c r="E686" s="10">
        <f t="shared" si="112"/>
        <v>0</v>
      </c>
      <c r="F686" s="10">
        <f t="shared" si="113"/>
        <v>0</v>
      </c>
      <c r="G686" s="11">
        <f t="shared" si="114"/>
        <v>0</v>
      </c>
      <c r="I686" s="92">
        <f t="shared" si="119"/>
      </c>
      <c r="L686" s="9">
        <v>299</v>
      </c>
      <c r="M686" s="9" t="s">
        <v>37</v>
      </c>
      <c r="N686" s="10">
        <f t="shared" si="120"/>
        <v>0</v>
      </c>
      <c r="O686" s="10">
        <f t="shared" si="115"/>
        <v>0</v>
      </c>
      <c r="P686" s="10">
        <f t="shared" si="116"/>
        <v>0</v>
      </c>
      <c r="Q686" s="11">
        <f t="shared" si="118"/>
        <v>0</v>
      </c>
      <c r="R686" s="9"/>
      <c r="S686" s="92">
        <f t="shared" si="117"/>
      </c>
      <c r="V686" s="104">
        <f t="shared" si="110"/>
        <v>0</v>
      </c>
    </row>
    <row r="687" spans="2:22" ht="12.75">
      <c r="B687" s="9">
        <v>300</v>
      </c>
      <c r="C687" s="9" t="s">
        <v>38</v>
      </c>
      <c r="D687" s="10">
        <f t="shared" si="111"/>
        <v>0</v>
      </c>
      <c r="E687" s="10">
        <f t="shared" si="112"/>
        <v>0</v>
      </c>
      <c r="F687" s="10">
        <f t="shared" si="113"/>
        <v>0</v>
      </c>
      <c r="G687" s="11">
        <f t="shared" si="114"/>
        <v>0</v>
      </c>
      <c r="I687" s="92">
        <f t="shared" si="119"/>
      </c>
      <c r="L687" s="9">
        <v>300</v>
      </c>
      <c r="M687" s="9" t="s">
        <v>38</v>
      </c>
      <c r="N687" s="10">
        <f t="shared" si="120"/>
        <v>0</v>
      </c>
      <c r="O687" s="10">
        <f t="shared" si="115"/>
        <v>0</v>
      </c>
      <c r="P687" s="10">
        <f t="shared" si="116"/>
        <v>0</v>
      </c>
      <c r="Q687" s="11">
        <f t="shared" si="118"/>
        <v>0</v>
      </c>
      <c r="R687" s="9"/>
      <c r="S687" s="92">
        <f t="shared" si="117"/>
      </c>
      <c r="V687" s="104">
        <f t="shared" si="110"/>
        <v>0</v>
      </c>
    </row>
    <row r="688" spans="2:23" ht="12.75">
      <c r="B688" s="84">
        <v>301</v>
      </c>
      <c r="C688" s="84" t="s">
        <v>27</v>
      </c>
      <c r="D688" s="85">
        <f t="shared" si="111"/>
        <v>0</v>
      </c>
      <c r="E688" s="85">
        <f t="shared" si="112"/>
        <v>0</v>
      </c>
      <c r="F688" s="85">
        <f t="shared" si="113"/>
        <v>0</v>
      </c>
      <c r="G688" s="86">
        <f t="shared" si="114"/>
        <v>0</v>
      </c>
      <c r="I688" s="92">
        <f t="shared" si="119"/>
      </c>
      <c r="J688" s="128">
        <f>(SUM(D676:D687)+J676)</f>
        <v>53859.308983714676</v>
      </c>
      <c r="K688">
        <v>25</v>
      </c>
      <c r="L688" s="84">
        <v>301</v>
      </c>
      <c r="M688" s="84" t="s">
        <v>27</v>
      </c>
      <c r="N688" s="85">
        <f t="shared" si="120"/>
        <v>0</v>
      </c>
      <c r="O688" s="85">
        <f t="shared" si="115"/>
        <v>0</v>
      </c>
      <c r="P688" s="85">
        <f t="shared" si="116"/>
        <v>0</v>
      </c>
      <c r="Q688" s="86">
        <f t="shared" si="118"/>
        <v>0</v>
      </c>
      <c r="R688" s="68">
        <f>IF((Q687-P688)&gt;Energie!S35,Energie!S35,(Q687-P688))</f>
        <v>0</v>
      </c>
      <c r="S688" s="92">
        <f t="shared" si="117"/>
      </c>
      <c r="T688" s="128"/>
      <c r="U688" s="128">
        <f>(SUM(N676:N687)+R688+U676)</f>
        <v>482946.8702407023</v>
      </c>
      <c r="V688" s="104">
        <f t="shared" si="110"/>
        <v>0</v>
      </c>
      <c r="W688" s="104">
        <f>SUM(V676:V687)</f>
        <v>0</v>
      </c>
    </row>
    <row r="689" spans="2:22" ht="12.75">
      <c r="B689" s="9">
        <v>302</v>
      </c>
      <c r="C689" s="9" t="s">
        <v>28</v>
      </c>
      <c r="D689" s="10">
        <f t="shared" si="111"/>
        <v>0</v>
      </c>
      <c r="E689" s="10">
        <f t="shared" si="112"/>
        <v>0</v>
      </c>
      <c r="F689" s="10">
        <f t="shared" si="113"/>
        <v>0</v>
      </c>
      <c r="G689" s="11">
        <f t="shared" si="114"/>
        <v>0</v>
      </c>
      <c r="I689" s="92">
        <f t="shared" si="119"/>
      </c>
      <c r="L689" s="9">
        <v>302</v>
      </c>
      <c r="M689" s="9" t="s">
        <v>28</v>
      </c>
      <c r="N689" s="10">
        <f t="shared" si="120"/>
        <v>0</v>
      </c>
      <c r="O689" s="10">
        <f t="shared" si="115"/>
        <v>0</v>
      </c>
      <c r="P689" s="10">
        <f t="shared" si="116"/>
        <v>0</v>
      </c>
      <c r="Q689" s="11">
        <f t="shared" si="118"/>
        <v>0</v>
      </c>
      <c r="R689" s="9"/>
      <c r="S689" s="92">
        <f t="shared" si="117"/>
      </c>
      <c r="V689" s="104">
        <f t="shared" si="110"/>
        <v>0</v>
      </c>
    </row>
    <row r="690" spans="2:22" ht="12.75">
      <c r="B690" s="9">
        <v>303</v>
      </c>
      <c r="C690" s="9" t="s">
        <v>29</v>
      </c>
      <c r="D690" s="10">
        <f t="shared" si="111"/>
        <v>0</v>
      </c>
      <c r="E690" s="10">
        <f t="shared" si="112"/>
        <v>0</v>
      </c>
      <c r="F690" s="10">
        <f t="shared" si="113"/>
        <v>0</v>
      </c>
      <c r="G690" s="11">
        <f t="shared" si="114"/>
        <v>0</v>
      </c>
      <c r="I690" s="92">
        <f t="shared" si="119"/>
      </c>
      <c r="L690" s="9">
        <v>303</v>
      </c>
      <c r="M690" s="9" t="s">
        <v>29</v>
      </c>
      <c r="N690" s="10">
        <f t="shared" si="120"/>
        <v>0</v>
      </c>
      <c r="O690" s="10">
        <f t="shared" si="115"/>
        <v>0</v>
      </c>
      <c r="P690" s="10">
        <f t="shared" si="116"/>
        <v>0</v>
      </c>
      <c r="Q690" s="11">
        <f t="shared" si="118"/>
        <v>0</v>
      </c>
      <c r="R690" s="9"/>
      <c r="S690" s="92">
        <f t="shared" si="117"/>
      </c>
      <c r="V690" s="104">
        <f t="shared" si="110"/>
        <v>0</v>
      </c>
    </row>
    <row r="691" spans="2:22" ht="12.75">
      <c r="B691" s="9">
        <v>304</v>
      </c>
      <c r="C691" s="9" t="s">
        <v>30</v>
      </c>
      <c r="D691" s="10">
        <f t="shared" si="111"/>
        <v>0</v>
      </c>
      <c r="E691" s="10">
        <f t="shared" si="112"/>
        <v>0</v>
      </c>
      <c r="F691" s="10">
        <f t="shared" si="113"/>
        <v>0</v>
      </c>
      <c r="G691" s="11">
        <f t="shared" si="114"/>
        <v>0</v>
      </c>
      <c r="I691" s="92">
        <f t="shared" si="119"/>
      </c>
      <c r="L691" s="9">
        <v>304</v>
      </c>
      <c r="M691" s="9" t="s">
        <v>30</v>
      </c>
      <c r="N691" s="10">
        <f t="shared" si="120"/>
        <v>0</v>
      </c>
      <c r="O691" s="10">
        <f t="shared" si="115"/>
        <v>0</v>
      </c>
      <c r="P691" s="10">
        <f t="shared" si="116"/>
        <v>0</v>
      </c>
      <c r="Q691" s="11">
        <f t="shared" si="118"/>
        <v>0</v>
      </c>
      <c r="R691" s="9"/>
      <c r="S691" s="92">
        <f t="shared" si="117"/>
      </c>
      <c r="V691" s="104">
        <f t="shared" si="110"/>
        <v>0</v>
      </c>
    </row>
    <row r="692" spans="2:22" ht="12.75">
      <c r="B692" s="9">
        <v>305</v>
      </c>
      <c r="C692" s="9" t="s">
        <v>31</v>
      </c>
      <c r="D692" s="10">
        <f t="shared" si="111"/>
        <v>0</v>
      </c>
      <c r="E692" s="10">
        <f t="shared" si="112"/>
        <v>0</v>
      </c>
      <c r="F692" s="10">
        <f t="shared" si="113"/>
        <v>0</v>
      </c>
      <c r="G692" s="11">
        <f t="shared" si="114"/>
        <v>0</v>
      </c>
      <c r="I692" s="92">
        <f t="shared" si="119"/>
      </c>
      <c r="L692" s="9">
        <v>305</v>
      </c>
      <c r="M692" s="9" t="s">
        <v>31</v>
      </c>
      <c r="N692" s="10">
        <f t="shared" si="120"/>
        <v>0</v>
      </c>
      <c r="O692" s="10">
        <f t="shared" si="115"/>
        <v>0</v>
      </c>
      <c r="P692" s="10">
        <f t="shared" si="116"/>
        <v>0</v>
      </c>
      <c r="Q692" s="11">
        <f t="shared" si="118"/>
        <v>0</v>
      </c>
      <c r="R692" s="9"/>
      <c r="S692" s="92">
        <f t="shared" si="117"/>
      </c>
      <c r="V692" s="104">
        <f t="shared" si="110"/>
        <v>0</v>
      </c>
    </row>
    <row r="693" spans="2:22" ht="12.75">
      <c r="B693" s="9">
        <v>306</v>
      </c>
      <c r="C693" s="9" t="s">
        <v>32</v>
      </c>
      <c r="D693" s="10">
        <f t="shared" si="111"/>
        <v>0</v>
      </c>
      <c r="E693" s="10">
        <f t="shared" si="112"/>
        <v>0</v>
      </c>
      <c r="F693" s="10">
        <f t="shared" si="113"/>
        <v>0</v>
      </c>
      <c r="G693" s="11">
        <f t="shared" si="114"/>
        <v>0</v>
      </c>
      <c r="I693" s="92">
        <f t="shared" si="119"/>
      </c>
      <c r="L693" s="9">
        <v>306</v>
      </c>
      <c r="M693" s="9" t="s">
        <v>32</v>
      </c>
      <c r="N693" s="10">
        <f t="shared" si="120"/>
        <v>0</v>
      </c>
      <c r="O693" s="10">
        <f t="shared" si="115"/>
        <v>0</v>
      </c>
      <c r="P693" s="10">
        <f t="shared" si="116"/>
        <v>0</v>
      </c>
      <c r="Q693" s="11">
        <f t="shared" si="118"/>
        <v>0</v>
      </c>
      <c r="R693" s="9"/>
      <c r="S693" s="92">
        <f t="shared" si="117"/>
      </c>
      <c r="V693" s="104">
        <f t="shared" si="110"/>
        <v>0</v>
      </c>
    </row>
    <row r="694" spans="2:22" ht="12.75">
      <c r="B694" s="9">
        <v>307</v>
      </c>
      <c r="C694" s="9" t="s">
        <v>33</v>
      </c>
      <c r="D694" s="10">
        <f t="shared" si="111"/>
        <v>0</v>
      </c>
      <c r="E694" s="10">
        <f t="shared" si="112"/>
        <v>0</v>
      </c>
      <c r="F694" s="10">
        <f t="shared" si="113"/>
        <v>0</v>
      </c>
      <c r="G694" s="11">
        <f t="shared" si="114"/>
        <v>0</v>
      </c>
      <c r="I694" s="92">
        <f t="shared" si="119"/>
      </c>
      <c r="L694" s="9">
        <v>307</v>
      </c>
      <c r="M694" s="9" t="s">
        <v>33</v>
      </c>
      <c r="N694" s="10">
        <f t="shared" si="120"/>
        <v>0</v>
      </c>
      <c r="O694" s="10">
        <f t="shared" si="115"/>
        <v>0</v>
      </c>
      <c r="P694" s="10">
        <f t="shared" si="116"/>
        <v>0</v>
      </c>
      <c r="Q694" s="11">
        <f t="shared" si="118"/>
        <v>0</v>
      </c>
      <c r="R694" s="9"/>
      <c r="S694" s="92">
        <f t="shared" si="117"/>
      </c>
      <c r="V694" s="104">
        <f t="shared" si="110"/>
        <v>0</v>
      </c>
    </row>
    <row r="695" spans="2:22" ht="12.75">
      <c r="B695" s="9">
        <v>308</v>
      </c>
      <c r="C695" s="9" t="s">
        <v>34</v>
      </c>
      <c r="D695" s="10">
        <f t="shared" si="111"/>
        <v>0</v>
      </c>
      <c r="E695" s="10">
        <f t="shared" si="112"/>
        <v>0</v>
      </c>
      <c r="F695" s="10">
        <f t="shared" si="113"/>
        <v>0</v>
      </c>
      <c r="G695" s="11">
        <f t="shared" si="114"/>
        <v>0</v>
      </c>
      <c r="I695" s="92">
        <f t="shared" si="119"/>
      </c>
      <c r="L695" s="9">
        <v>308</v>
      </c>
      <c r="M695" s="9" t="s">
        <v>34</v>
      </c>
      <c r="N695" s="10">
        <f t="shared" si="120"/>
        <v>0</v>
      </c>
      <c r="O695" s="10">
        <f t="shared" si="115"/>
        <v>0</v>
      </c>
      <c r="P695" s="10">
        <f t="shared" si="116"/>
        <v>0</v>
      </c>
      <c r="Q695" s="11">
        <f t="shared" si="118"/>
        <v>0</v>
      </c>
      <c r="R695" s="9"/>
      <c r="S695" s="92">
        <f t="shared" si="117"/>
      </c>
      <c r="V695" s="104">
        <f t="shared" si="110"/>
        <v>0</v>
      </c>
    </row>
    <row r="696" spans="2:22" ht="12.75">
      <c r="B696" s="9">
        <v>309</v>
      </c>
      <c r="C696" s="9" t="s">
        <v>35</v>
      </c>
      <c r="D696" s="10">
        <f t="shared" si="111"/>
        <v>0</v>
      </c>
      <c r="E696" s="10">
        <f t="shared" si="112"/>
        <v>0</v>
      </c>
      <c r="F696" s="10">
        <f t="shared" si="113"/>
        <v>0</v>
      </c>
      <c r="G696" s="11">
        <f t="shared" si="114"/>
        <v>0</v>
      </c>
      <c r="I696" s="92">
        <f t="shared" si="119"/>
      </c>
      <c r="L696" s="9">
        <v>309</v>
      </c>
      <c r="M696" s="9" t="s">
        <v>35</v>
      </c>
      <c r="N696" s="10">
        <f t="shared" si="120"/>
        <v>0</v>
      </c>
      <c r="O696" s="10">
        <f t="shared" si="115"/>
        <v>0</v>
      </c>
      <c r="P696" s="10">
        <f t="shared" si="116"/>
        <v>0</v>
      </c>
      <c r="Q696" s="11">
        <f t="shared" si="118"/>
        <v>0</v>
      </c>
      <c r="R696" s="9"/>
      <c r="S696" s="92">
        <f t="shared" si="117"/>
      </c>
      <c r="V696" s="104">
        <f t="shared" si="110"/>
        <v>0</v>
      </c>
    </row>
    <row r="697" spans="2:22" ht="12.75">
      <c r="B697" s="9">
        <v>310</v>
      </c>
      <c r="C697" s="9" t="s">
        <v>36</v>
      </c>
      <c r="D697" s="10">
        <f t="shared" si="111"/>
        <v>0</v>
      </c>
      <c r="E697" s="10">
        <f t="shared" si="112"/>
        <v>0</v>
      </c>
      <c r="F697" s="10">
        <f t="shared" si="113"/>
        <v>0</v>
      </c>
      <c r="G697" s="11">
        <f t="shared" si="114"/>
        <v>0</v>
      </c>
      <c r="I697" s="92">
        <f t="shared" si="119"/>
      </c>
      <c r="L697" s="9">
        <v>310</v>
      </c>
      <c r="M697" s="9" t="s">
        <v>36</v>
      </c>
      <c r="N697" s="10">
        <f t="shared" si="120"/>
        <v>0</v>
      </c>
      <c r="O697" s="10">
        <f t="shared" si="115"/>
        <v>0</v>
      </c>
      <c r="P697" s="10">
        <f t="shared" si="116"/>
        <v>0</v>
      </c>
      <c r="Q697" s="11">
        <f t="shared" si="118"/>
        <v>0</v>
      </c>
      <c r="R697" s="9"/>
      <c r="S697" s="92">
        <f t="shared" si="117"/>
      </c>
      <c r="V697" s="104">
        <f t="shared" si="110"/>
        <v>0</v>
      </c>
    </row>
    <row r="698" spans="2:22" ht="12.75">
      <c r="B698" s="9">
        <v>311</v>
      </c>
      <c r="C698" s="9" t="s">
        <v>37</v>
      </c>
      <c r="D698" s="10">
        <f t="shared" si="111"/>
        <v>0</v>
      </c>
      <c r="E698" s="10">
        <f t="shared" si="112"/>
        <v>0</v>
      </c>
      <c r="F698" s="10">
        <f t="shared" si="113"/>
        <v>0</v>
      </c>
      <c r="G698" s="11">
        <f t="shared" si="114"/>
        <v>0</v>
      </c>
      <c r="I698" s="92">
        <f t="shared" si="119"/>
      </c>
      <c r="L698" s="9">
        <v>311</v>
      </c>
      <c r="M698" s="9" t="s">
        <v>37</v>
      </c>
      <c r="N698" s="10">
        <f t="shared" si="120"/>
        <v>0</v>
      </c>
      <c r="O698" s="10">
        <f t="shared" si="115"/>
        <v>0</v>
      </c>
      <c r="P698" s="10">
        <f t="shared" si="116"/>
        <v>0</v>
      </c>
      <c r="Q698" s="11">
        <f t="shared" si="118"/>
        <v>0</v>
      </c>
      <c r="R698" s="9"/>
      <c r="S698" s="92">
        <f t="shared" si="117"/>
      </c>
      <c r="V698" s="104">
        <f t="shared" si="110"/>
        <v>0</v>
      </c>
    </row>
    <row r="699" spans="2:22" ht="12.75">
      <c r="B699" s="9">
        <v>312</v>
      </c>
      <c r="C699" s="9" t="s">
        <v>38</v>
      </c>
      <c r="D699" s="10">
        <f t="shared" si="111"/>
        <v>0</v>
      </c>
      <c r="E699" s="10">
        <f t="shared" si="112"/>
        <v>0</v>
      </c>
      <c r="F699" s="10">
        <f t="shared" si="113"/>
        <v>0</v>
      </c>
      <c r="G699" s="11">
        <f t="shared" si="114"/>
        <v>0</v>
      </c>
      <c r="I699" s="92">
        <f t="shared" si="119"/>
      </c>
      <c r="L699" s="102">
        <v>312</v>
      </c>
      <c r="M699" s="102" t="s">
        <v>38</v>
      </c>
      <c r="N699" s="10">
        <f t="shared" si="120"/>
        <v>0</v>
      </c>
      <c r="O699" s="12">
        <f t="shared" si="115"/>
        <v>0</v>
      </c>
      <c r="P699" s="12">
        <f t="shared" si="116"/>
        <v>0</v>
      </c>
      <c r="Q699" s="103">
        <f t="shared" si="118"/>
        <v>0</v>
      </c>
      <c r="R699" s="102"/>
      <c r="S699" s="92">
        <f t="shared" si="117"/>
      </c>
      <c r="V699" s="104">
        <f t="shared" si="110"/>
        <v>0</v>
      </c>
    </row>
    <row r="700" spans="2:23" ht="12.75">
      <c r="B700" s="84">
        <v>313</v>
      </c>
      <c r="C700" s="84" t="s">
        <v>27</v>
      </c>
      <c r="D700" s="85">
        <f t="shared" si="111"/>
        <v>0</v>
      </c>
      <c r="E700" s="85">
        <f t="shared" si="112"/>
        <v>0</v>
      </c>
      <c r="F700" s="85">
        <f t="shared" si="113"/>
        <v>0</v>
      </c>
      <c r="G700" s="86">
        <f t="shared" si="114"/>
        <v>0</v>
      </c>
      <c r="I700" s="92">
        <f t="shared" si="119"/>
      </c>
      <c r="J700" s="128">
        <f>(SUM(D688:D699)+J688)</f>
        <v>53859.308983714676</v>
      </c>
      <c r="K700">
        <v>26</v>
      </c>
      <c r="L700" s="84">
        <v>313</v>
      </c>
      <c r="M700" s="84" t="s">
        <v>27</v>
      </c>
      <c r="N700" s="85">
        <f t="shared" si="120"/>
        <v>0</v>
      </c>
      <c r="O700" s="85">
        <f t="shared" si="115"/>
        <v>0</v>
      </c>
      <c r="P700" s="85">
        <f t="shared" si="116"/>
        <v>0</v>
      </c>
      <c r="Q700" s="86">
        <f t="shared" si="118"/>
        <v>0</v>
      </c>
      <c r="R700" s="68">
        <f>IF((Q699-P700)&gt;Energie!S36,Energie!S36,(Q699-P700))</f>
        <v>0</v>
      </c>
      <c r="S700" s="92">
        <f t="shared" si="117"/>
      </c>
      <c r="T700" s="128"/>
      <c r="U700" s="128">
        <f>(SUM(N688:N699)+R700+U688)</f>
        <v>482946.8702407023</v>
      </c>
      <c r="V700" s="104">
        <f t="shared" si="110"/>
        <v>0</v>
      </c>
      <c r="W700" s="104">
        <f>SUM(V688:V699)</f>
        <v>0</v>
      </c>
    </row>
    <row r="701" spans="2:22" ht="12.75">
      <c r="B701" s="9">
        <v>314</v>
      </c>
      <c r="C701" s="9" t="s">
        <v>28</v>
      </c>
      <c r="D701" s="10">
        <f t="shared" si="111"/>
        <v>0</v>
      </c>
      <c r="E701" s="10">
        <f t="shared" si="112"/>
        <v>0</v>
      </c>
      <c r="F701" s="10">
        <f t="shared" si="113"/>
        <v>0</v>
      </c>
      <c r="G701" s="11">
        <f t="shared" si="114"/>
        <v>0</v>
      </c>
      <c r="I701" s="92">
        <f t="shared" si="119"/>
      </c>
      <c r="L701" s="9">
        <v>314</v>
      </c>
      <c r="M701" s="9" t="s">
        <v>28</v>
      </c>
      <c r="N701" s="10">
        <f t="shared" si="120"/>
        <v>0</v>
      </c>
      <c r="O701" s="10">
        <f t="shared" si="115"/>
        <v>0</v>
      </c>
      <c r="P701" s="10">
        <f t="shared" si="116"/>
        <v>0</v>
      </c>
      <c r="Q701" s="11">
        <f t="shared" si="118"/>
        <v>0</v>
      </c>
      <c r="R701" s="9"/>
      <c r="S701" s="92">
        <f t="shared" si="117"/>
      </c>
      <c r="V701" s="104">
        <f t="shared" si="110"/>
        <v>0</v>
      </c>
    </row>
    <row r="702" spans="2:22" ht="12.75">
      <c r="B702" s="9">
        <v>315</v>
      </c>
      <c r="C702" s="9" t="s">
        <v>29</v>
      </c>
      <c r="D702" s="10">
        <f t="shared" si="111"/>
        <v>0</v>
      </c>
      <c r="E702" s="10">
        <f t="shared" si="112"/>
        <v>0</v>
      </c>
      <c r="F702" s="10">
        <f t="shared" si="113"/>
        <v>0</v>
      </c>
      <c r="G702" s="11">
        <f t="shared" si="114"/>
        <v>0</v>
      </c>
      <c r="I702" s="92">
        <f t="shared" si="119"/>
      </c>
      <c r="L702" s="9">
        <v>315</v>
      </c>
      <c r="M702" s="9" t="s">
        <v>29</v>
      </c>
      <c r="N702" s="10">
        <f>IF(Q701&lt;(N$376+D$376),Q701+O702,(N$376+D$376))</f>
        <v>0</v>
      </c>
      <c r="O702" s="10">
        <f t="shared" si="115"/>
        <v>0</v>
      </c>
      <c r="P702" s="10">
        <f t="shared" si="116"/>
        <v>0</v>
      </c>
      <c r="Q702" s="11">
        <f t="shared" si="118"/>
        <v>0</v>
      </c>
      <c r="R702" s="9"/>
      <c r="S702" s="92">
        <f t="shared" si="117"/>
      </c>
      <c r="V702" s="104">
        <f t="shared" si="110"/>
        <v>0</v>
      </c>
    </row>
    <row r="703" spans="2:22" ht="12.75">
      <c r="B703" s="9">
        <v>316</v>
      </c>
      <c r="C703" s="9" t="s">
        <v>30</v>
      </c>
      <c r="D703" s="10">
        <f t="shared" si="111"/>
        <v>0</v>
      </c>
      <c r="E703" s="10">
        <f t="shared" si="112"/>
        <v>0</v>
      </c>
      <c r="F703" s="10">
        <f t="shared" si="113"/>
        <v>0</v>
      </c>
      <c r="G703" s="11">
        <f t="shared" si="114"/>
        <v>0</v>
      </c>
      <c r="I703" s="92">
        <f t="shared" si="119"/>
      </c>
      <c r="L703" s="9">
        <v>316</v>
      </c>
      <c r="M703" s="9" t="s">
        <v>30</v>
      </c>
      <c r="N703" s="10">
        <f aca="true" t="shared" si="121" ref="N703:N735">IF(Q702&lt;(N$376+D$376),Q702+O703,(N$376+D$376))</f>
        <v>0</v>
      </c>
      <c r="O703" s="10">
        <f t="shared" si="115"/>
        <v>0</v>
      </c>
      <c r="P703" s="10">
        <f t="shared" si="116"/>
        <v>0</v>
      </c>
      <c r="Q703" s="11">
        <f t="shared" si="118"/>
        <v>0</v>
      </c>
      <c r="R703" s="9"/>
      <c r="S703" s="92">
        <f t="shared" si="117"/>
      </c>
      <c r="V703" s="104">
        <f t="shared" si="110"/>
        <v>0</v>
      </c>
    </row>
    <row r="704" spans="2:22" ht="12.75">
      <c r="B704" s="9">
        <v>317</v>
      </c>
      <c r="C704" s="9" t="s">
        <v>31</v>
      </c>
      <c r="D704" s="10">
        <f t="shared" si="111"/>
        <v>0</v>
      </c>
      <c r="E704" s="10">
        <f t="shared" si="112"/>
        <v>0</v>
      </c>
      <c r="F704" s="10">
        <f t="shared" si="113"/>
        <v>0</v>
      </c>
      <c r="G704" s="11">
        <f t="shared" si="114"/>
        <v>0</v>
      </c>
      <c r="I704" s="92">
        <f t="shared" si="119"/>
      </c>
      <c r="L704" s="9">
        <v>317</v>
      </c>
      <c r="M704" s="9" t="s">
        <v>31</v>
      </c>
      <c r="N704" s="10">
        <f t="shared" si="121"/>
        <v>0</v>
      </c>
      <c r="O704" s="10">
        <f t="shared" si="115"/>
        <v>0</v>
      </c>
      <c r="P704" s="10">
        <f t="shared" si="116"/>
        <v>0</v>
      </c>
      <c r="Q704" s="11">
        <f t="shared" si="118"/>
        <v>0</v>
      </c>
      <c r="R704" s="9"/>
      <c r="S704" s="92">
        <f t="shared" si="117"/>
      </c>
      <c r="V704" s="104">
        <f t="shared" si="110"/>
        <v>0</v>
      </c>
    </row>
    <row r="705" spans="2:22" ht="12.75">
      <c r="B705" s="9">
        <v>318</v>
      </c>
      <c r="C705" s="9" t="s">
        <v>32</v>
      </c>
      <c r="D705" s="10">
        <f t="shared" si="111"/>
        <v>0</v>
      </c>
      <c r="E705" s="10">
        <f t="shared" si="112"/>
        <v>0</v>
      </c>
      <c r="F705" s="10">
        <f t="shared" si="113"/>
        <v>0</v>
      </c>
      <c r="G705" s="11">
        <f t="shared" si="114"/>
        <v>0</v>
      </c>
      <c r="I705" s="92">
        <f t="shared" si="119"/>
      </c>
      <c r="L705" s="9">
        <v>318</v>
      </c>
      <c r="M705" s="9" t="s">
        <v>32</v>
      </c>
      <c r="N705" s="10">
        <f t="shared" si="121"/>
        <v>0</v>
      </c>
      <c r="O705" s="10">
        <f t="shared" si="115"/>
        <v>0</v>
      </c>
      <c r="P705" s="10">
        <f t="shared" si="116"/>
        <v>0</v>
      </c>
      <c r="Q705" s="11">
        <f t="shared" si="118"/>
        <v>0</v>
      </c>
      <c r="R705" s="9"/>
      <c r="S705" s="92">
        <f t="shared" si="117"/>
      </c>
      <c r="V705" s="104">
        <f t="shared" si="110"/>
        <v>0</v>
      </c>
    </row>
    <row r="706" spans="2:22" ht="12.75">
      <c r="B706" s="9">
        <v>319</v>
      </c>
      <c r="C706" s="9" t="s">
        <v>33</v>
      </c>
      <c r="D706" s="10">
        <f t="shared" si="111"/>
        <v>0</v>
      </c>
      <c r="E706" s="10">
        <f t="shared" si="112"/>
        <v>0</v>
      </c>
      <c r="F706" s="10">
        <f t="shared" si="113"/>
        <v>0</v>
      </c>
      <c r="G706" s="11">
        <f t="shared" si="114"/>
        <v>0</v>
      </c>
      <c r="I706" s="92">
        <f t="shared" si="119"/>
      </c>
      <c r="L706" s="9">
        <v>319</v>
      </c>
      <c r="M706" s="9" t="s">
        <v>33</v>
      </c>
      <c r="N706" s="10">
        <f t="shared" si="121"/>
        <v>0</v>
      </c>
      <c r="O706" s="10">
        <f t="shared" si="115"/>
        <v>0</v>
      </c>
      <c r="P706" s="10">
        <f t="shared" si="116"/>
        <v>0</v>
      </c>
      <c r="Q706" s="11">
        <f t="shared" si="118"/>
        <v>0</v>
      </c>
      <c r="R706" s="9"/>
      <c r="S706" s="92">
        <f t="shared" si="117"/>
      </c>
      <c r="V706" s="104">
        <f t="shared" si="110"/>
        <v>0</v>
      </c>
    </row>
    <row r="707" spans="2:22" ht="12.75">
      <c r="B707" s="9">
        <v>320</v>
      </c>
      <c r="C707" s="9" t="s">
        <v>34</v>
      </c>
      <c r="D707" s="10">
        <f t="shared" si="111"/>
        <v>0</v>
      </c>
      <c r="E707" s="10">
        <f t="shared" si="112"/>
        <v>0</v>
      </c>
      <c r="F707" s="10">
        <f t="shared" si="113"/>
        <v>0</v>
      </c>
      <c r="G707" s="11">
        <f t="shared" si="114"/>
        <v>0</v>
      </c>
      <c r="I707" s="92">
        <f t="shared" si="119"/>
      </c>
      <c r="L707" s="9">
        <v>320</v>
      </c>
      <c r="M707" s="9" t="s">
        <v>34</v>
      </c>
      <c r="N707" s="10">
        <f t="shared" si="121"/>
        <v>0</v>
      </c>
      <c r="O707" s="10">
        <f t="shared" si="115"/>
        <v>0</v>
      </c>
      <c r="P707" s="10">
        <f t="shared" si="116"/>
        <v>0</v>
      </c>
      <c r="Q707" s="11">
        <f t="shared" si="118"/>
        <v>0</v>
      </c>
      <c r="R707" s="9"/>
      <c r="S707" s="92">
        <f t="shared" si="117"/>
      </c>
      <c r="V707" s="104">
        <f t="shared" si="110"/>
        <v>0</v>
      </c>
    </row>
    <row r="708" spans="2:22" ht="12.75">
      <c r="B708" s="9">
        <v>321</v>
      </c>
      <c r="C708" s="9" t="s">
        <v>35</v>
      </c>
      <c r="D708" s="10">
        <f t="shared" si="111"/>
        <v>0</v>
      </c>
      <c r="E708" s="10">
        <f t="shared" si="112"/>
        <v>0</v>
      </c>
      <c r="F708" s="10">
        <f t="shared" si="113"/>
        <v>0</v>
      </c>
      <c r="G708" s="11">
        <f t="shared" si="114"/>
        <v>0</v>
      </c>
      <c r="I708" s="92">
        <f t="shared" si="119"/>
      </c>
      <c r="L708" s="9">
        <v>321</v>
      </c>
      <c r="M708" s="9" t="s">
        <v>35</v>
      </c>
      <c r="N708" s="10">
        <f t="shared" si="121"/>
        <v>0</v>
      </c>
      <c r="O708" s="10">
        <f t="shared" si="115"/>
        <v>0</v>
      </c>
      <c r="P708" s="10">
        <f t="shared" si="116"/>
        <v>0</v>
      </c>
      <c r="Q708" s="11">
        <f t="shared" si="118"/>
        <v>0</v>
      </c>
      <c r="R708" s="9"/>
      <c r="S708" s="92">
        <f t="shared" si="117"/>
      </c>
      <c r="V708" s="104">
        <f aca="true" t="shared" si="122" ref="V708:V746">SUM(D708+N708+R709)</f>
        <v>0</v>
      </c>
    </row>
    <row r="709" spans="2:22" ht="12.75">
      <c r="B709" s="9">
        <v>322</v>
      </c>
      <c r="C709" s="9" t="s">
        <v>36</v>
      </c>
      <c r="D709" s="10">
        <f aca="true" t="shared" si="123" ref="D709:D747">IF(G708&lt;D$376,G708+E709,D$376)</f>
        <v>0</v>
      </c>
      <c r="E709" s="10">
        <f aca="true" t="shared" si="124" ref="E709:E747">IF(G708/100*E$376/12&lt;0,0,G708/100*E$376/12)</f>
        <v>0</v>
      </c>
      <c r="F709" s="10">
        <f aca="true" t="shared" si="125" ref="F709:F747">D709-E709</f>
        <v>0</v>
      </c>
      <c r="G709" s="11">
        <f aca="true" t="shared" si="126" ref="G709:G746">G708-F709-H708</f>
        <v>0</v>
      </c>
      <c r="I709" s="92">
        <f t="shared" si="119"/>
      </c>
      <c r="L709" s="9">
        <v>322</v>
      </c>
      <c r="M709" s="9" t="s">
        <v>36</v>
      </c>
      <c r="N709" s="10">
        <f t="shared" si="121"/>
        <v>0</v>
      </c>
      <c r="O709" s="10">
        <f aca="true" t="shared" si="127" ref="O709:O772">IF(Q708/100*O$376/12&lt;0,0,Q708/100*O$376/12)</f>
        <v>0</v>
      </c>
      <c r="P709" s="10">
        <f aca="true" t="shared" si="128" ref="P709:P772">N709-O709</f>
        <v>0</v>
      </c>
      <c r="Q709" s="11">
        <f t="shared" si="118"/>
        <v>0</v>
      </c>
      <c r="R709" s="9"/>
      <c r="S709" s="92">
        <f t="shared" si="117"/>
      </c>
      <c r="V709" s="104">
        <f t="shared" si="122"/>
        <v>0</v>
      </c>
    </row>
    <row r="710" spans="2:22" ht="12.75">
      <c r="B710" s="9">
        <v>323</v>
      </c>
      <c r="C710" s="9" t="s">
        <v>37</v>
      </c>
      <c r="D710" s="10">
        <f t="shared" si="123"/>
        <v>0</v>
      </c>
      <c r="E710" s="10">
        <f t="shared" si="124"/>
        <v>0</v>
      </c>
      <c r="F710" s="10">
        <f t="shared" si="125"/>
        <v>0</v>
      </c>
      <c r="G710" s="11">
        <f t="shared" si="126"/>
        <v>0</v>
      </c>
      <c r="I710" s="92">
        <f t="shared" si="119"/>
      </c>
      <c r="L710" s="9">
        <v>323</v>
      </c>
      <c r="M710" s="9" t="s">
        <v>37</v>
      </c>
      <c r="N710" s="10">
        <f t="shared" si="121"/>
        <v>0</v>
      </c>
      <c r="O710" s="10">
        <f t="shared" si="127"/>
        <v>0</v>
      </c>
      <c r="P710" s="10">
        <f t="shared" si="128"/>
        <v>0</v>
      </c>
      <c r="Q710" s="11">
        <f t="shared" si="118"/>
        <v>0</v>
      </c>
      <c r="R710" s="9"/>
      <c r="S710" s="92">
        <f aca="true" t="shared" si="129" ref="S710:S773">IF(O710&gt;0,L710,"")</f>
      </c>
      <c r="V710" s="104">
        <f t="shared" si="122"/>
        <v>0</v>
      </c>
    </row>
    <row r="711" spans="2:22" ht="12.75">
      <c r="B711" s="9">
        <v>324</v>
      </c>
      <c r="C711" s="9" t="s">
        <v>38</v>
      </c>
      <c r="D711" s="10">
        <f t="shared" si="123"/>
        <v>0</v>
      </c>
      <c r="E711" s="10">
        <f t="shared" si="124"/>
        <v>0</v>
      </c>
      <c r="F711" s="10">
        <f t="shared" si="125"/>
        <v>0</v>
      </c>
      <c r="G711" s="11">
        <f t="shared" si="126"/>
        <v>0</v>
      </c>
      <c r="I711" s="92">
        <f t="shared" si="119"/>
      </c>
      <c r="L711" s="9">
        <v>324</v>
      </c>
      <c r="M711" s="9" t="s">
        <v>38</v>
      </c>
      <c r="N711" s="10">
        <f t="shared" si="121"/>
        <v>0</v>
      </c>
      <c r="O711" s="10">
        <f t="shared" si="127"/>
        <v>0</v>
      </c>
      <c r="P711" s="10">
        <f t="shared" si="128"/>
        <v>0</v>
      </c>
      <c r="Q711" s="11">
        <f aca="true" t="shared" si="130" ref="Q711:Q774">Q710-P711-R711</f>
        <v>0</v>
      </c>
      <c r="R711" s="9"/>
      <c r="S711" s="92">
        <f t="shared" si="129"/>
      </c>
      <c r="V711" s="104">
        <f t="shared" si="122"/>
        <v>0</v>
      </c>
    </row>
    <row r="712" spans="2:23" ht="12.75">
      <c r="B712" s="84">
        <v>325</v>
      </c>
      <c r="C712" s="84" t="s">
        <v>27</v>
      </c>
      <c r="D712" s="85">
        <f t="shared" si="123"/>
        <v>0</v>
      </c>
      <c r="E712" s="85">
        <f t="shared" si="124"/>
        <v>0</v>
      </c>
      <c r="F712" s="85">
        <f t="shared" si="125"/>
        <v>0</v>
      </c>
      <c r="G712" s="86">
        <f t="shared" si="126"/>
        <v>0</v>
      </c>
      <c r="I712" s="92">
        <f t="shared" si="119"/>
      </c>
      <c r="J712" s="128">
        <f>(SUM(D700:D711)+J700)</f>
        <v>53859.308983714676</v>
      </c>
      <c r="K712">
        <v>27</v>
      </c>
      <c r="L712" s="84">
        <v>325</v>
      </c>
      <c r="M712" s="84" t="s">
        <v>27</v>
      </c>
      <c r="N712" s="85">
        <f t="shared" si="121"/>
        <v>0</v>
      </c>
      <c r="O712" s="85">
        <f t="shared" si="127"/>
        <v>0</v>
      </c>
      <c r="P712" s="85">
        <f t="shared" si="128"/>
        <v>0</v>
      </c>
      <c r="Q712" s="86">
        <f t="shared" si="130"/>
        <v>0</v>
      </c>
      <c r="R712" s="68">
        <f>IF((Q711-P712)&gt;Energie!S37,Energie!S37,(Q711-P712))</f>
        <v>0</v>
      </c>
      <c r="S712" s="92">
        <f t="shared" si="129"/>
      </c>
      <c r="T712" s="128"/>
      <c r="U712" s="128">
        <f>(SUM(N700:N711)+R712+U700)</f>
        <v>482946.8702407023</v>
      </c>
      <c r="V712" s="104">
        <f t="shared" si="122"/>
        <v>0</v>
      </c>
      <c r="W712" s="104">
        <f>SUM(V700:V711)</f>
        <v>0</v>
      </c>
    </row>
    <row r="713" spans="2:22" ht="12.75">
      <c r="B713" s="9">
        <v>326</v>
      </c>
      <c r="C713" s="9" t="s">
        <v>28</v>
      </c>
      <c r="D713" s="10">
        <f t="shared" si="123"/>
        <v>0</v>
      </c>
      <c r="E713" s="10">
        <f t="shared" si="124"/>
        <v>0</v>
      </c>
      <c r="F713" s="10">
        <f t="shared" si="125"/>
        <v>0</v>
      </c>
      <c r="G713" s="11">
        <f t="shared" si="126"/>
        <v>0</v>
      </c>
      <c r="I713" s="92">
        <f t="shared" si="119"/>
      </c>
      <c r="L713" s="9">
        <v>326</v>
      </c>
      <c r="M713" s="9" t="s">
        <v>28</v>
      </c>
      <c r="N713" s="10">
        <f t="shared" si="121"/>
        <v>0</v>
      </c>
      <c r="O713" s="10">
        <f t="shared" si="127"/>
        <v>0</v>
      </c>
      <c r="P713" s="10">
        <f t="shared" si="128"/>
        <v>0</v>
      </c>
      <c r="Q713" s="11">
        <f t="shared" si="130"/>
        <v>0</v>
      </c>
      <c r="R713" s="9"/>
      <c r="S713" s="92">
        <f t="shared" si="129"/>
      </c>
      <c r="V713" s="104">
        <f t="shared" si="122"/>
        <v>0</v>
      </c>
    </row>
    <row r="714" spans="2:22" ht="12.75">
      <c r="B714" s="9">
        <v>327</v>
      </c>
      <c r="C714" s="9" t="s">
        <v>29</v>
      </c>
      <c r="D714" s="10">
        <f t="shared" si="123"/>
        <v>0</v>
      </c>
      <c r="E714" s="10">
        <f t="shared" si="124"/>
        <v>0</v>
      </c>
      <c r="F714" s="10">
        <f t="shared" si="125"/>
        <v>0</v>
      </c>
      <c r="G714" s="11">
        <f t="shared" si="126"/>
        <v>0</v>
      </c>
      <c r="I714" s="92">
        <f t="shared" si="119"/>
      </c>
      <c r="L714" s="9">
        <v>327</v>
      </c>
      <c r="M714" s="9" t="s">
        <v>29</v>
      </c>
      <c r="N714" s="10">
        <f t="shared" si="121"/>
        <v>0</v>
      </c>
      <c r="O714" s="10">
        <f t="shared" si="127"/>
        <v>0</v>
      </c>
      <c r="P714" s="10">
        <f t="shared" si="128"/>
        <v>0</v>
      </c>
      <c r="Q714" s="11">
        <f t="shared" si="130"/>
        <v>0</v>
      </c>
      <c r="R714" s="9"/>
      <c r="S714" s="92">
        <f t="shared" si="129"/>
      </c>
      <c r="V714" s="104">
        <f t="shared" si="122"/>
        <v>0</v>
      </c>
    </row>
    <row r="715" spans="2:22" ht="12.75">
      <c r="B715" s="9">
        <v>328</v>
      </c>
      <c r="C715" s="9" t="s">
        <v>30</v>
      </c>
      <c r="D715" s="10">
        <f t="shared" si="123"/>
        <v>0</v>
      </c>
      <c r="E715" s="10">
        <f t="shared" si="124"/>
        <v>0</v>
      </c>
      <c r="F715" s="10">
        <f t="shared" si="125"/>
        <v>0</v>
      </c>
      <c r="G715" s="11">
        <f t="shared" si="126"/>
        <v>0</v>
      </c>
      <c r="I715" s="92">
        <f t="shared" si="119"/>
      </c>
      <c r="L715" s="9">
        <v>328</v>
      </c>
      <c r="M715" s="9" t="s">
        <v>30</v>
      </c>
      <c r="N715" s="10">
        <f t="shared" si="121"/>
        <v>0</v>
      </c>
      <c r="O715" s="10">
        <f t="shared" si="127"/>
        <v>0</v>
      </c>
      <c r="P715" s="10">
        <f t="shared" si="128"/>
        <v>0</v>
      </c>
      <c r="Q715" s="11">
        <f t="shared" si="130"/>
        <v>0</v>
      </c>
      <c r="R715" s="9"/>
      <c r="S715" s="92">
        <f t="shared" si="129"/>
      </c>
      <c r="V715" s="104">
        <f t="shared" si="122"/>
        <v>0</v>
      </c>
    </row>
    <row r="716" spans="2:22" ht="12.75">
      <c r="B716" s="9">
        <v>329</v>
      </c>
      <c r="C716" s="9" t="s">
        <v>31</v>
      </c>
      <c r="D716" s="10">
        <f t="shared" si="123"/>
        <v>0</v>
      </c>
      <c r="E716" s="10">
        <f t="shared" si="124"/>
        <v>0</v>
      </c>
      <c r="F716" s="10">
        <f t="shared" si="125"/>
        <v>0</v>
      </c>
      <c r="G716" s="11">
        <f t="shared" si="126"/>
        <v>0</v>
      </c>
      <c r="I716" s="92">
        <f t="shared" si="119"/>
      </c>
      <c r="L716" s="9">
        <v>329</v>
      </c>
      <c r="M716" s="9" t="s">
        <v>31</v>
      </c>
      <c r="N716" s="10">
        <f t="shared" si="121"/>
        <v>0</v>
      </c>
      <c r="O716" s="10">
        <f t="shared" si="127"/>
        <v>0</v>
      </c>
      <c r="P716" s="10">
        <f t="shared" si="128"/>
        <v>0</v>
      </c>
      <c r="Q716" s="11">
        <f t="shared" si="130"/>
        <v>0</v>
      </c>
      <c r="R716" s="9"/>
      <c r="S716" s="92">
        <f t="shared" si="129"/>
      </c>
      <c r="V716" s="104">
        <f t="shared" si="122"/>
        <v>0</v>
      </c>
    </row>
    <row r="717" spans="2:22" ht="12.75">
      <c r="B717" s="9">
        <v>330</v>
      </c>
      <c r="C717" s="9" t="s">
        <v>32</v>
      </c>
      <c r="D717" s="10">
        <f t="shared" si="123"/>
        <v>0</v>
      </c>
      <c r="E717" s="10">
        <f t="shared" si="124"/>
        <v>0</v>
      </c>
      <c r="F717" s="10">
        <f t="shared" si="125"/>
        <v>0</v>
      </c>
      <c r="G717" s="11">
        <f t="shared" si="126"/>
        <v>0</v>
      </c>
      <c r="I717" s="92">
        <f t="shared" si="119"/>
      </c>
      <c r="L717" s="9">
        <v>330</v>
      </c>
      <c r="M717" s="9" t="s">
        <v>32</v>
      </c>
      <c r="N717" s="10">
        <f t="shared" si="121"/>
        <v>0</v>
      </c>
      <c r="O717" s="10">
        <f t="shared" si="127"/>
        <v>0</v>
      </c>
      <c r="P717" s="10">
        <f t="shared" si="128"/>
        <v>0</v>
      </c>
      <c r="Q717" s="11">
        <f t="shared" si="130"/>
        <v>0</v>
      </c>
      <c r="R717" s="9"/>
      <c r="S717" s="92">
        <f t="shared" si="129"/>
      </c>
      <c r="V717" s="104">
        <f t="shared" si="122"/>
        <v>0</v>
      </c>
    </row>
    <row r="718" spans="2:22" ht="12.75">
      <c r="B718" s="9">
        <v>331</v>
      </c>
      <c r="C718" s="9" t="s">
        <v>33</v>
      </c>
      <c r="D718" s="10">
        <f t="shared" si="123"/>
        <v>0</v>
      </c>
      <c r="E718" s="10">
        <f t="shared" si="124"/>
        <v>0</v>
      </c>
      <c r="F718" s="10">
        <f t="shared" si="125"/>
        <v>0</v>
      </c>
      <c r="G718" s="11">
        <f t="shared" si="126"/>
        <v>0</v>
      </c>
      <c r="I718" s="92">
        <f t="shared" si="119"/>
      </c>
      <c r="L718" s="9">
        <v>331</v>
      </c>
      <c r="M718" s="9" t="s">
        <v>33</v>
      </c>
      <c r="N718" s="10">
        <f t="shared" si="121"/>
        <v>0</v>
      </c>
      <c r="O718" s="10">
        <f t="shared" si="127"/>
        <v>0</v>
      </c>
      <c r="P718" s="10">
        <f t="shared" si="128"/>
        <v>0</v>
      </c>
      <c r="Q718" s="11">
        <f t="shared" si="130"/>
        <v>0</v>
      </c>
      <c r="R718" s="9"/>
      <c r="S718" s="92">
        <f t="shared" si="129"/>
      </c>
      <c r="V718" s="104">
        <f t="shared" si="122"/>
        <v>0</v>
      </c>
    </row>
    <row r="719" spans="2:22" ht="12.75">
      <c r="B719" s="9">
        <v>332</v>
      </c>
      <c r="C719" s="9" t="s">
        <v>34</v>
      </c>
      <c r="D719" s="10">
        <f t="shared" si="123"/>
        <v>0</v>
      </c>
      <c r="E719" s="10">
        <f t="shared" si="124"/>
        <v>0</v>
      </c>
      <c r="F719" s="10">
        <f t="shared" si="125"/>
        <v>0</v>
      </c>
      <c r="G719" s="11">
        <f t="shared" si="126"/>
        <v>0</v>
      </c>
      <c r="I719" s="92">
        <f aca="true" t="shared" si="131" ref="I719:I747">IF(E719&gt;0,B719,"")</f>
      </c>
      <c r="L719" s="9">
        <v>332</v>
      </c>
      <c r="M719" s="9" t="s">
        <v>34</v>
      </c>
      <c r="N719" s="10">
        <f t="shared" si="121"/>
        <v>0</v>
      </c>
      <c r="O719" s="10">
        <f t="shared" si="127"/>
        <v>0</v>
      </c>
      <c r="P719" s="10">
        <f t="shared" si="128"/>
        <v>0</v>
      </c>
      <c r="Q719" s="11">
        <f t="shared" si="130"/>
        <v>0</v>
      </c>
      <c r="R719" s="9"/>
      <c r="S719" s="92">
        <f t="shared" si="129"/>
      </c>
      <c r="V719" s="104">
        <f t="shared" si="122"/>
        <v>0</v>
      </c>
    </row>
    <row r="720" spans="2:22" ht="12.75">
      <c r="B720" s="9">
        <v>333</v>
      </c>
      <c r="C720" s="9" t="s">
        <v>35</v>
      </c>
      <c r="D720" s="10">
        <f t="shared" si="123"/>
        <v>0</v>
      </c>
      <c r="E720" s="10">
        <f t="shared" si="124"/>
        <v>0</v>
      </c>
      <c r="F720" s="10">
        <f t="shared" si="125"/>
        <v>0</v>
      </c>
      <c r="G720" s="11">
        <f t="shared" si="126"/>
        <v>0</v>
      </c>
      <c r="I720" s="92">
        <f t="shared" si="131"/>
      </c>
      <c r="L720" s="9">
        <v>333</v>
      </c>
      <c r="M720" s="9" t="s">
        <v>35</v>
      </c>
      <c r="N720" s="10">
        <f t="shared" si="121"/>
        <v>0</v>
      </c>
      <c r="O720" s="10">
        <f t="shared" si="127"/>
        <v>0</v>
      </c>
      <c r="P720" s="10">
        <f t="shared" si="128"/>
        <v>0</v>
      </c>
      <c r="Q720" s="11">
        <f t="shared" si="130"/>
        <v>0</v>
      </c>
      <c r="R720" s="9"/>
      <c r="S720" s="92">
        <f t="shared" si="129"/>
      </c>
      <c r="V720" s="104">
        <f t="shared" si="122"/>
        <v>0</v>
      </c>
    </row>
    <row r="721" spans="2:22" ht="12.75">
      <c r="B721" s="9">
        <v>334</v>
      </c>
      <c r="C721" s="9" t="s">
        <v>36</v>
      </c>
      <c r="D721" s="10">
        <f t="shared" si="123"/>
        <v>0</v>
      </c>
      <c r="E721" s="10">
        <f t="shared" si="124"/>
        <v>0</v>
      </c>
      <c r="F721" s="10">
        <f t="shared" si="125"/>
        <v>0</v>
      </c>
      <c r="G721" s="11">
        <f t="shared" si="126"/>
        <v>0</v>
      </c>
      <c r="I721" s="92">
        <f t="shared" si="131"/>
      </c>
      <c r="L721" s="9">
        <v>334</v>
      </c>
      <c r="M721" s="9" t="s">
        <v>36</v>
      </c>
      <c r="N721" s="10">
        <f t="shared" si="121"/>
        <v>0</v>
      </c>
      <c r="O721" s="10">
        <f t="shared" si="127"/>
        <v>0</v>
      </c>
      <c r="P721" s="10">
        <f t="shared" si="128"/>
        <v>0</v>
      </c>
      <c r="Q721" s="11">
        <f t="shared" si="130"/>
        <v>0</v>
      </c>
      <c r="R721" s="9"/>
      <c r="S721" s="92">
        <f t="shared" si="129"/>
      </c>
      <c r="V721" s="104">
        <f t="shared" si="122"/>
        <v>0</v>
      </c>
    </row>
    <row r="722" spans="2:22" ht="12.75">
      <c r="B722" s="9">
        <v>335</v>
      </c>
      <c r="C722" s="9" t="s">
        <v>37</v>
      </c>
      <c r="D722" s="10">
        <f t="shared" si="123"/>
        <v>0</v>
      </c>
      <c r="E722" s="10">
        <f t="shared" si="124"/>
        <v>0</v>
      </c>
      <c r="F722" s="10">
        <f t="shared" si="125"/>
        <v>0</v>
      </c>
      <c r="G722" s="11">
        <f t="shared" si="126"/>
        <v>0</v>
      </c>
      <c r="I722" s="92">
        <f t="shared" si="131"/>
      </c>
      <c r="L722" s="9">
        <v>335</v>
      </c>
      <c r="M722" s="9" t="s">
        <v>37</v>
      </c>
      <c r="N722" s="10">
        <f t="shared" si="121"/>
        <v>0</v>
      </c>
      <c r="O722" s="10">
        <f t="shared" si="127"/>
        <v>0</v>
      </c>
      <c r="P722" s="10">
        <f t="shared" si="128"/>
        <v>0</v>
      </c>
      <c r="Q722" s="11">
        <f t="shared" si="130"/>
        <v>0</v>
      </c>
      <c r="R722" s="9"/>
      <c r="S722" s="92">
        <f t="shared" si="129"/>
      </c>
      <c r="V722" s="104">
        <f t="shared" si="122"/>
        <v>0</v>
      </c>
    </row>
    <row r="723" spans="2:22" ht="12.75">
      <c r="B723" s="9">
        <v>336</v>
      </c>
      <c r="C723" s="9" t="s">
        <v>38</v>
      </c>
      <c r="D723" s="10">
        <f t="shared" si="123"/>
        <v>0</v>
      </c>
      <c r="E723" s="10">
        <f t="shared" si="124"/>
        <v>0</v>
      </c>
      <c r="F723" s="10">
        <f t="shared" si="125"/>
        <v>0</v>
      </c>
      <c r="G723" s="11">
        <f t="shared" si="126"/>
        <v>0</v>
      </c>
      <c r="I723" s="92">
        <f t="shared" si="131"/>
      </c>
      <c r="L723" s="9">
        <v>336</v>
      </c>
      <c r="M723" s="9" t="s">
        <v>38</v>
      </c>
      <c r="N723" s="10">
        <f t="shared" si="121"/>
        <v>0</v>
      </c>
      <c r="O723" s="10">
        <f t="shared" si="127"/>
        <v>0</v>
      </c>
      <c r="P723" s="10">
        <f t="shared" si="128"/>
        <v>0</v>
      </c>
      <c r="Q723" s="11">
        <f t="shared" si="130"/>
        <v>0</v>
      </c>
      <c r="R723" s="9"/>
      <c r="S723" s="92">
        <f t="shared" si="129"/>
      </c>
      <c r="V723" s="104">
        <f t="shared" si="122"/>
        <v>0</v>
      </c>
    </row>
    <row r="724" spans="2:23" ht="12.75">
      <c r="B724" s="84">
        <v>337</v>
      </c>
      <c r="C724" s="84" t="s">
        <v>27</v>
      </c>
      <c r="D724" s="85">
        <f t="shared" si="123"/>
        <v>0</v>
      </c>
      <c r="E724" s="85">
        <f t="shared" si="124"/>
        <v>0</v>
      </c>
      <c r="F724" s="85">
        <f t="shared" si="125"/>
        <v>0</v>
      </c>
      <c r="G724" s="86">
        <f t="shared" si="126"/>
        <v>0</v>
      </c>
      <c r="I724" s="92">
        <f t="shared" si="131"/>
      </c>
      <c r="J724" s="128">
        <f>(SUM(D712:D723)+J712)</f>
        <v>53859.308983714676</v>
      </c>
      <c r="K724">
        <v>28</v>
      </c>
      <c r="L724" s="84">
        <v>337</v>
      </c>
      <c r="M724" s="84" t="s">
        <v>27</v>
      </c>
      <c r="N724" s="85">
        <f t="shared" si="121"/>
        <v>0</v>
      </c>
      <c r="O724" s="85">
        <f t="shared" si="127"/>
        <v>0</v>
      </c>
      <c r="P724" s="85">
        <f t="shared" si="128"/>
        <v>0</v>
      </c>
      <c r="Q724" s="86">
        <f t="shared" si="130"/>
        <v>0</v>
      </c>
      <c r="R724" s="68">
        <f>IF((Q723-P724)&gt;Energie!S38,Energie!S38,(Q723-P724))</f>
        <v>0</v>
      </c>
      <c r="S724" s="92">
        <f t="shared" si="129"/>
      </c>
      <c r="T724" s="128"/>
      <c r="U724" s="128">
        <f>(SUM(N712:N723)+R724+U712)</f>
        <v>482946.8702407023</v>
      </c>
      <c r="V724" s="104">
        <f t="shared" si="122"/>
        <v>0</v>
      </c>
      <c r="W724" s="104">
        <f>SUM(V712:V723)</f>
        <v>0</v>
      </c>
    </row>
    <row r="725" spans="2:22" ht="12.75">
      <c r="B725" s="9">
        <v>338</v>
      </c>
      <c r="C725" s="9" t="s">
        <v>28</v>
      </c>
      <c r="D725" s="10">
        <f t="shared" si="123"/>
        <v>0</v>
      </c>
      <c r="E725" s="10">
        <f t="shared" si="124"/>
        <v>0</v>
      </c>
      <c r="F725" s="10">
        <f t="shared" si="125"/>
        <v>0</v>
      </c>
      <c r="G725" s="11">
        <f t="shared" si="126"/>
        <v>0</v>
      </c>
      <c r="I725" s="92">
        <f t="shared" si="131"/>
      </c>
      <c r="L725" s="9">
        <v>338</v>
      </c>
      <c r="M725" s="9" t="s">
        <v>28</v>
      </c>
      <c r="N725" s="10">
        <f t="shared" si="121"/>
        <v>0</v>
      </c>
      <c r="O725" s="10">
        <f t="shared" si="127"/>
        <v>0</v>
      </c>
      <c r="P725" s="10">
        <f t="shared" si="128"/>
        <v>0</v>
      </c>
      <c r="Q725" s="11">
        <f t="shared" si="130"/>
        <v>0</v>
      </c>
      <c r="R725" s="9"/>
      <c r="S725" s="92">
        <f t="shared" si="129"/>
      </c>
      <c r="V725" s="104">
        <f t="shared" si="122"/>
        <v>0</v>
      </c>
    </row>
    <row r="726" spans="2:22" ht="12.75">
      <c r="B726" s="9">
        <v>339</v>
      </c>
      <c r="C726" s="9" t="s">
        <v>29</v>
      </c>
      <c r="D726" s="10">
        <f t="shared" si="123"/>
        <v>0</v>
      </c>
      <c r="E726" s="10">
        <f t="shared" si="124"/>
        <v>0</v>
      </c>
      <c r="F726" s="10">
        <f t="shared" si="125"/>
        <v>0</v>
      </c>
      <c r="G726" s="11">
        <f t="shared" si="126"/>
        <v>0</v>
      </c>
      <c r="I726" s="92">
        <f t="shared" si="131"/>
      </c>
      <c r="L726" s="9">
        <v>339</v>
      </c>
      <c r="M726" s="9" t="s">
        <v>29</v>
      </c>
      <c r="N726" s="10">
        <f t="shared" si="121"/>
        <v>0</v>
      </c>
      <c r="O726" s="10">
        <f t="shared" si="127"/>
        <v>0</v>
      </c>
      <c r="P726" s="10">
        <f t="shared" si="128"/>
        <v>0</v>
      </c>
      <c r="Q726" s="11">
        <f t="shared" si="130"/>
        <v>0</v>
      </c>
      <c r="R726" s="9"/>
      <c r="S726" s="92">
        <f t="shared" si="129"/>
      </c>
      <c r="V726" s="104">
        <f t="shared" si="122"/>
        <v>0</v>
      </c>
    </row>
    <row r="727" spans="2:22" ht="12.75">
      <c r="B727" s="9">
        <v>340</v>
      </c>
      <c r="C727" s="9" t="s">
        <v>30</v>
      </c>
      <c r="D727" s="10">
        <f t="shared" si="123"/>
        <v>0</v>
      </c>
      <c r="E727" s="10">
        <f t="shared" si="124"/>
        <v>0</v>
      </c>
      <c r="F727" s="10">
        <f t="shared" si="125"/>
        <v>0</v>
      </c>
      <c r="G727" s="11">
        <f t="shared" si="126"/>
        <v>0</v>
      </c>
      <c r="I727" s="92">
        <f t="shared" si="131"/>
      </c>
      <c r="L727" s="9">
        <v>340</v>
      </c>
      <c r="M727" s="9" t="s">
        <v>30</v>
      </c>
      <c r="N727" s="10">
        <f t="shared" si="121"/>
        <v>0</v>
      </c>
      <c r="O727" s="10">
        <f t="shared" si="127"/>
        <v>0</v>
      </c>
      <c r="P727" s="10">
        <f t="shared" si="128"/>
        <v>0</v>
      </c>
      <c r="Q727" s="11">
        <f t="shared" si="130"/>
        <v>0</v>
      </c>
      <c r="R727" s="9"/>
      <c r="S727" s="92">
        <f t="shared" si="129"/>
      </c>
      <c r="V727" s="104">
        <f t="shared" si="122"/>
        <v>0</v>
      </c>
    </row>
    <row r="728" spans="2:22" ht="12.75">
      <c r="B728" s="9">
        <v>341</v>
      </c>
      <c r="C728" s="9" t="s">
        <v>31</v>
      </c>
      <c r="D728" s="10">
        <f t="shared" si="123"/>
        <v>0</v>
      </c>
      <c r="E728" s="10">
        <f t="shared" si="124"/>
        <v>0</v>
      </c>
      <c r="F728" s="10">
        <f t="shared" si="125"/>
        <v>0</v>
      </c>
      <c r="G728" s="11">
        <f t="shared" si="126"/>
        <v>0</v>
      </c>
      <c r="I728" s="92">
        <f t="shared" si="131"/>
      </c>
      <c r="L728" s="9">
        <v>341</v>
      </c>
      <c r="M728" s="9" t="s">
        <v>31</v>
      </c>
      <c r="N728" s="10">
        <f t="shared" si="121"/>
        <v>0</v>
      </c>
      <c r="O728" s="10">
        <f t="shared" si="127"/>
        <v>0</v>
      </c>
      <c r="P728" s="10">
        <f t="shared" si="128"/>
        <v>0</v>
      </c>
      <c r="Q728" s="11">
        <f t="shared" si="130"/>
        <v>0</v>
      </c>
      <c r="R728" s="9"/>
      <c r="S728" s="92">
        <f t="shared" si="129"/>
      </c>
      <c r="V728" s="104">
        <f t="shared" si="122"/>
        <v>0</v>
      </c>
    </row>
    <row r="729" spans="2:22" ht="12.75">
      <c r="B729" s="9">
        <v>342</v>
      </c>
      <c r="C729" s="9" t="s">
        <v>32</v>
      </c>
      <c r="D729" s="10">
        <f t="shared" si="123"/>
        <v>0</v>
      </c>
      <c r="E729" s="10">
        <f t="shared" si="124"/>
        <v>0</v>
      </c>
      <c r="F729" s="10">
        <f t="shared" si="125"/>
        <v>0</v>
      </c>
      <c r="G729" s="11">
        <f t="shared" si="126"/>
        <v>0</v>
      </c>
      <c r="I729" s="92">
        <f t="shared" si="131"/>
      </c>
      <c r="L729" s="9">
        <v>342</v>
      </c>
      <c r="M729" s="9" t="s">
        <v>32</v>
      </c>
      <c r="N729" s="10">
        <f t="shared" si="121"/>
        <v>0</v>
      </c>
      <c r="O729" s="10">
        <f t="shared" si="127"/>
        <v>0</v>
      </c>
      <c r="P729" s="10">
        <f t="shared" si="128"/>
        <v>0</v>
      </c>
      <c r="Q729" s="11">
        <f t="shared" si="130"/>
        <v>0</v>
      </c>
      <c r="R729" s="9"/>
      <c r="S729" s="92">
        <f t="shared" si="129"/>
      </c>
      <c r="V729" s="104">
        <f t="shared" si="122"/>
        <v>0</v>
      </c>
    </row>
    <row r="730" spans="2:22" ht="12.75">
      <c r="B730" s="9">
        <v>343</v>
      </c>
      <c r="C730" s="9" t="s">
        <v>33</v>
      </c>
      <c r="D730" s="10">
        <f t="shared" si="123"/>
        <v>0</v>
      </c>
      <c r="E730" s="10">
        <f t="shared" si="124"/>
        <v>0</v>
      </c>
      <c r="F730" s="10">
        <f t="shared" si="125"/>
        <v>0</v>
      </c>
      <c r="G730" s="11">
        <f t="shared" si="126"/>
        <v>0</v>
      </c>
      <c r="I730" s="92">
        <f t="shared" si="131"/>
      </c>
      <c r="L730" s="9">
        <v>343</v>
      </c>
      <c r="M730" s="9" t="s">
        <v>33</v>
      </c>
      <c r="N730" s="10">
        <f t="shared" si="121"/>
        <v>0</v>
      </c>
      <c r="O730" s="10">
        <f t="shared" si="127"/>
        <v>0</v>
      </c>
      <c r="P730" s="10">
        <f t="shared" si="128"/>
        <v>0</v>
      </c>
      <c r="Q730" s="11">
        <f t="shared" si="130"/>
        <v>0</v>
      </c>
      <c r="R730" s="9"/>
      <c r="S730" s="92">
        <f t="shared" si="129"/>
      </c>
      <c r="V730" s="104">
        <f t="shared" si="122"/>
        <v>0</v>
      </c>
    </row>
    <row r="731" spans="2:22" ht="12.75">
      <c r="B731" s="9">
        <v>344</v>
      </c>
      <c r="C731" s="9" t="s">
        <v>34</v>
      </c>
      <c r="D731" s="10">
        <f t="shared" si="123"/>
        <v>0</v>
      </c>
      <c r="E731" s="10">
        <f t="shared" si="124"/>
        <v>0</v>
      </c>
      <c r="F731" s="10">
        <f t="shared" si="125"/>
        <v>0</v>
      </c>
      <c r="G731" s="11">
        <f t="shared" si="126"/>
        <v>0</v>
      </c>
      <c r="I731" s="92">
        <f t="shared" si="131"/>
      </c>
      <c r="L731" s="9">
        <v>344</v>
      </c>
      <c r="M731" s="9" t="s">
        <v>34</v>
      </c>
      <c r="N731" s="10">
        <f t="shared" si="121"/>
        <v>0</v>
      </c>
      <c r="O731" s="10">
        <f t="shared" si="127"/>
        <v>0</v>
      </c>
      <c r="P731" s="10">
        <f t="shared" si="128"/>
        <v>0</v>
      </c>
      <c r="Q731" s="11">
        <f t="shared" si="130"/>
        <v>0</v>
      </c>
      <c r="R731" s="9"/>
      <c r="S731" s="92">
        <f t="shared" si="129"/>
      </c>
      <c r="V731" s="104">
        <f t="shared" si="122"/>
        <v>0</v>
      </c>
    </row>
    <row r="732" spans="2:22" ht="12.75">
      <c r="B732" s="9">
        <v>345</v>
      </c>
      <c r="C732" s="9" t="s">
        <v>35</v>
      </c>
      <c r="D732" s="10">
        <f t="shared" si="123"/>
        <v>0</v>
      </c>
      <c r="E732" s="10">
        <f t="shared" si="124"/>
        <v>0</v>
      </c>
      <c r="F732" s="10">
        <f t="shared" si="125"/>
        <v>0</v>
      </c>
      <c r="G732" s="11">
        <f t="shared" si="126"/>
        <v>0</v>
      </c>
      <c r="I732" s="92">
        <f t="shared" si="131"/>
      </c>
      <c r="L732" s="9">
        <v>345</v>
      </c>
      <c r="M732" s="9" t="s">
        <v>35</v>
      </c>
      <c r="N732" s="10">
        <f t="shared" si="121"/>
        <v>0</v>
      </c>
      <c r="O732" s="10">
        <f t="shared" si="127"/>
        <v>0</v>
      </c>
      <c r="P732" s="10">
        <f t="shared" si="128"/>
        <v>0</v>
      </c>
      <c r="Q732" s="11">
        <f t="shared" si="130"/>
        <v>0</v>
      </c>
      <c r="R732" s="9"/>
      <c r="S732" s="92">
        <f t="shared" si="129"/>
      </c>
      <c r="V732" s="104">
        <f t="shared" si="122"/>
        <v>0</v>
      </c>
    </row>
    <row r="733" spans="2:22" ht="12.75">
      <c r="B733" s="9">
        <v>346</v>
      </c>
      <c r="C733" s="9" t="s">
        <v>36</v>
      </c>
      <c r="D733" s="10">
        <f t="shared" si="123"/>
        <v>0</v>
      </c>
      <c r="E733" s="10">
        <f t="shared" si="124"/>
        <v>0</v>
      </c>
      <c r="F733" s="10">
        <f t="shared" si="125"/>
        <v>0</v>
      </c>
      <c r="G733" s="11">
        <f t="shared" si="126"/>
        <v>0</v>
      </c>
      <c r="I733" s="92">
        <f t="shared" si="131"/>
      </c>
      <c r="L733" s="9">
        <v>346</v>
      </c>
      <c r="M733" s="9" t="s">
        <v>36</v>
      </c>
      <c r="N733" s="10">
        <f t="shared" si="121"/>
        <v>0</v>
      </c>
      <c r="O733" s="10">
        <f t="shared" si="127"/>
        <v>0</v>
      </c>
      <c r="P733" s="10">
        <f t="shared" si="128"/>
        <v>0</v>
      </c>
      <c r="Q733" s="11">
        <f t="shared" si="130"/>
        <v>0</v>
      </c>
      <c r="R733" s="9"/>
      <c r="S733" s="92">
        <f t="shared" si="129"/>
      </c>
      <c r="V733" s="104">
        <f t="shared" si="122"/>
        <v>0</v>
      </c>
    </row>
    <row r="734" spans="2:22" ht="12.75">
      <c r="B734" s="9">
        <v>347</v>
      </c>
      <c r="C734" s="9" t="s">
        <v>37</v>
      </c>
      <c r="D734" s="10">
        <f t="shared" si="123"/>
        <v>0</v>
      </c>
      <c r="E734" s="10">
        <f t="shared" si="124"/>
        <v>0</v>
      </c>
      <c r="F734" s="10">
        <f t="shared" si="125"/>
        <v>0</v>
      </c>
      <c r="G734" s="11">
        <f t="shared" si="126"/>
        <v>0</v>
      </c>
      <c r="I734" s="92">
        <f t="shared" si="131"/>
      </c>
      <c r="L734" s="9">
        <v>347</v>
      </c>
      <c r="M734" s="9" t="s">
        <v>37</v>
      </c>
      <c r="N734" s="10">
        <f t="shared" si="121"/>
        <v>0</v>
      </c>
      <c r="O734" s="10">
        <f t="shared" si="127"/>
        <v>0</v>
      </c>
      <c r="P734" s="10">
        <f t="shared" si="128"/>
        <v>0</v>
      </c>
      <c r="Q734" s="11">
        <f t="shared" si="130"/>
        <v>0</v>
      </c>
      <c r="R734" s="9"/>
      <c r="S734" s="92">
        <f t="shared" si="129"/>
      </c>
      <c r="V734" s="104">
        <f t="shared" si="122"/>
        <v>0</v>
      </c>
    </row>
    <row r="735" spans="2:22" ht="12.75">
      <c r="B735" s="9">
        <v>348</v>
      </c>
      <c r="C735" s="9" t="s">
        <v>38</v>
      </c>
      <c r="D735" s="10">
        <f t="shared" si="123"/>
        <v>0</v>
      </c>
      <c r="E735" s="10">
        <f t="shared" si="124"/>
        <v>0</v>
      </c>
      <c r="F735" s="10">
        <f t="shared" si="125"/>
        <v>0</v>
      </c>
      <c r="G735" s="11">
        <f t="shared" si="126"/>
        <v>0</v>
      </c>
      <c r="I735" s="92">
        <f t="shared" si="131"/>
      </c>
      <c r="L735" s="9">
        <v>348</v>
      </c>
      <c r="M735" s="9" t="s">
        <v>38</v>
      </c>
      <c r="N735" s="10">
        <f t="shared" si="121"/>
        <v>0</v>
      </c>
      <c r="O735" s="10">
        <f t="shared" si="127"/>
        <v>0</v>
      </c>
      <c r="P735" s="10">
        <f t="shared" si="128"/>
        <v>0</v>
      </c>
      <c r="Q735" s="11">
        <f t="shared" si="130"/>
        <v>0</v>
      </c>
      <c r="R735" s="9"/>
      <c r="S735" s="92">
        <f t="shared" si="129"/>
      </c>
      <c r="V735" s="104">
        <f t="shared" si="122"/>
        <v>0</v>
      </c>
    </row>
    <row r="736" spans="2:23" ht="12.75">
      <c r="B736" s="84">
        <v>349</v>
      </c>
      <c r="C736" s="84" t="s">
        <v>27</v>
      </c>
      <c r="D736" s="85">
        <f t="shared" si="123"/>
        <v>0</v>
      </c>
      <c r="E736" s="85">
        <f t="shared" si="124"/>
        <v>0</v>
      </c>
      <c r="F736" s="85">
        <f t="shared" si="125"/>
        <v>0</v>
      </c>
      <c r="G736" s="86">
        <f t="shared" si="126"/>
        <v>0</v>
      </c>
      <c r="I736" s="92">
        <f t="shared" si="131"/>
      </c>
      <c r="J736" s="128">
        <f>(SUM(D724:D735)+J724)</f>
        <v>53859.308983714676</v>
      </c>
      <c r="K736">
        <v>29</v>
      </c>
      <c r="L736" s="84">
        <v>349</v>
      </c>
      <c r="M736" s="84" t="s">
        <v>27</v>
      </c>
      <c r="N736" s="85">
        <f>IF(Q735&lt;(N$376+D$376),Q735+O736,(N$376+D$376))</f>
        <v>0</v>
      </c>
      <c r="O736" s="85">
        <f t="shared" si="127"/>
        <v>0</v>
      </c>
      <c r="P736" s="85">
        <f t="shared" si="128"/>
        <v>0</v>
      </c>
      <c r="Q736" s="86">
        <f t="shared" si="130"/>
        <v>0</v>
      </c>
      <c r="R736" s="68">
        <f>IF((Q735-P736)&gt;Energie!S39,Energie!S39,(Q735-P736))</f>
        <v>0</v>
      </c>
      <c r="S736" s="92">
        <f t="shared" si="129"/>
      </c>
      <c r="T736" s="128"/>
      <c r="U736" s="128">
        <f>(SUM(N724:N735)+R736+U724)</f>
        <v>482946.8702407023</v>
      </c>
      <c r="V736" s="104">
        <f t="shared" si="122"/>
        <v>0</v>
      </c>
      <c r="W736" s="104">
        <f>SUM(V724:V735)</f>
        <v>0</v>
      </c>
    </row>
    <row r="737" spans="2:22" ht="12.75">
      <c r="B737" s="9">
        <v>350</v>
      </c>
      <c r="C737" s="9" t="s">
        <v>28</v>
      </c>
      <c r="D737" s="10">
        <f t="shared" si="123"/>
        <v>0</v>
      </c>
      <c r="E737" s="10">
        <f t="shared" si="124"/>
        <v>0</v>
      </c>
      <c r="F737" s="10">
        <f t="shared" si="125"/>
        <v>0</v>
      </c>
      <c r="G737" s="11">
        <f t="shared" si="126"/>
        <v>0</v>
      </c>
      <c r="I737" s="92">
        <f t="shared" si="131"/>
      </c>
      <c r="L737" s="9">
        <v>350</v>
      </c>
      <c r="M737" s="9" t="s">
        <v>28</v>
      </c>
      <c r="N737" s="10">
        <f aca="true" t="shared" si="132" ref="N737:N766">IF(Q736&lt;(N$376+D$376),Q736+O737,(N$376+D$376))</f>
        <v>0</v>
      </c>
      <c r="O737" s="10">
        <f t="shared" si="127"/>
        <v>0</v>
      </c>
      <c r="P737" s="10">
        <f t="shared" si="128"/>
        <v>0</v>
      </c>
      <c r="Q737" s="11">
        <f t="shared" si="130"/>
        <v>0</v>
      </c>
      <c r="R737" s="9"/>
      <c r="S737" s="92">
        <f t="shared" si="129"/>
      </c>
      <c r="V737" s="104">
        <f t="shared" si="122"/>
        <v>0</v>
      </c>
    </row>
    <row r="738" spans="2:22" ht="12.75">
      <c r="B738" s="9">
        <v>351</v>
      </c>
      <c r="C738" s="9" t="s">
        <v>29</v>
      </c>
      <c r="D738" s="10">
        <f t="shared" si="123"/>
        <v>0</v>
      </c>
      <c r="E738" s="10">
        <f t="shared" si="124"/>
        <v>0</v>
      </c>
      <c r="F738" s="10">
        <f t="shared" si="125"/>
        <v>0</v>
      </c>
      <c r="G738" s="11">
        <f t="shared" si="126"/>
        <v>0</v>
      </c>
      <c r="I738" s="92">
        <f t="shared" si="131"/>
      </c>
      <c r="L738" s="9">
        <v>351</v>
      </c>
      <c r="M738" s="9" t="s">
        <v>29</v>
      </c>
      <c r="N738" s="10">
        <f t="shared" si="132"/>
        <v>0</v>
      </c>
      <c r="O738" s="10">
        <f t="shared" si="127"/>
        <v>0</v>
      </c>
      <c r="P738" s="10">
        <f t="shared" si="128"/>
        <v>0</v>
      </c>
      <c r="Q738" s="11">
        <f t="shared" si="130"/>
        <v>0</v>
      </c>
      <c r="R738" s="9"/>
      <c r="S738" s="92">
        <f t="shared" si="129"/>
      </c>
      <c r="V738" s="104">
        <f t="shared" si="122"/>
        <v>0</v>
      </c>
    </row>
    <row r="739" spans="2:22" ht="12.75">
      <c r="B739" s="9">
        <v>352</v>
      </c>
      <c r="C739" s="9" t="s">
        <v>30</v>
      </c>
      <c r="D739" s="10">
        <f t="shared" si="123"/>
        <v>0</v>
      </c>
      <c r="E739" s="10">
        <f t="shared" si="124"/>
        <v>0</v>
      </c>
      <c r="F739" s="10">
        <f t="shared" si="125"/>
        <v>0</v>
      </c>
      <c r="G739" s="11">
        <f t="shared" si="126"/>
        <v>0</v>
      </c>
      <c r="I739" s="92">
        <f t="shared" si="131"/>
      </c>
      <c r="L739" s="9">
        <v>352</v>
      </c>
      <c r="M739" s="9" t="s">
        <v>30</v>
      </c>
      <c r="N739" s="10">
        <f t="shared" si="132"/>
        <v>0</v>
      </c>
      <c r="O739" s="10">
        <f t="shared" si="127"/>
        <v>0</v>
      </c>
      <c r="P739" s="10">
        <f t="shared" si="128"/>
        <v>0</v>
      </c>
      <c r="Q739" s="11">
        <f t="shared" si="130"/>
        <v>0</v>
      </c>
      <c r="R739" s="9"/>
      <c r="S739" s="92">
        <f t="shared" si="129"/>
      </c>
      <c r="V739" s="104">
        <f t="shared" si="122"/>
        <v>0</v>
      </c>
    </row>
    <row r="740" spans="2:22" ht="12.75">
      <c r="B740" s="9">
        <v>353</v>
      </c>
      <c r="C740" s="9" t="s">
        <v>31</v>
      </c>
      <c r="D740" s="10">
        <f t="shared" si="123"/>
        <v>0</v>
      </c>
      <c r="E740" s="10">
        <f t="shared" si="124"/>
        <v>0</v>
      </c>
      <c r="F740" s="10">
        <f t="shared" si="125"/>
        <v>0</v>
      </c>
      <c r="G740" s="11">
        <f t="shared" si="126"/>
        <v>0</v>
      </c>
      <c r="I740" s="92">
        <f t="shared" si="131"/>
      </c>
      <c r="L740" s="9">
        <v>353</v>
      </c>
      <c r="M740" s="9" t="s">
        <v>31</v>
      </c>
      <c r="N740" s="10">
        <f t="shared" si="132"/>
        <v>0</v>
      </c>
      <c r="O740" s="10">
        <f t="shared" si="127"/>
        <v>0</v>
      </c>
      <c r="P740" s="10">
        <f t="shared" si="128"/>
        <v>0</v>
      </c>
      <c r="Q740" s="11">
        <f t="shared" si="130"/>
        <v>0</v>
      </c>
      <c r="R740" s="9"/>
      <c r="S740" s="92">
        <f t="shared" si="129"/>
      </c>
      <c r="V740" s="104">
        <f t="shared" si="122"/>
        <v>0</v>
      </c>
    </row>
    <row r="741" spans="2:22" ht="12.75">
      <c r="B741" s="9">
        <v>354</v>
      </c>
      <c r="C741" s="9" t="s">
        <v>32</v>
      </c>
      <c r="D741" s="10">
        <f t="shared" si="123"/>
        <v>0</v>
      </c>
      <c r="E741" s="10">
        <f t="shared" si="124"/>
        <v>0</v>
      </c>
      <c r="F741" s="10">
        <f t="shared" si="125"/>
        <v>0</v>
      </c>
      <c r="G741" s="11">
        <f t="shared" si="126"/>
        <v>0</v>
      </c>
      <c r="I741" s="92">
        <f t="shared" si="131"/>
      </c>
      <c r="L741" s="9">
        <v>354</v>
      </c>
      <c r="M741" s="9" t="s">
        <v>32</v>
      </c>
      <c r="N741" s="10">
        <f t="shared" si="132"/>
        <v>0</v>
      </c>
      <c r="O741" s="10">
        <f t="shared" si="127"/>
        <v>0</v>
      </c>
      <c r="P741" s="10">
        <f t="shared" si="128"/>
        <v>0</v>
      </c>
      <c r="Q741" s="11">
        <f t="shared" si="130"/>
        <v>0</v>
      </c>
      <c r="R741" s="9"/>
      <c r="S741" s="92">
        <f t="shared" si="129"/>
      </c>
      <c r="V741" s="104">
        <f t="shared" si="122"/>
        <v>0</v>
      </c>
    </row>
    <row r="742" spans="2:22" ht="12.75">
      <c r="B742" s="9">
        <v>355</v>
      </c>
      <c r="C742" s="9" t="s">
        <v>33</v>
      </c>
      <c r="D742" s="10">
        <f t="shared" si="123"/>
        <v>0</v>
      </c>
      <c r="E742" s="10">
        <f t="shared" si="124"/>
        <v>0</v>
      </c>
      <c r="F742" s="10">
        <f t="shared" si="125"/>
        <v>0</v>
      </c>
      <c r="G742" s="11">
        <f t="shared" si="126"/>
        <v>0</v>
      </c>
      <c r="I742" s="92">
        <f t="shared" si="131"/>
      </c>
      <c r="L742" s="9">
        <v>355</v>
      </c>
      <c r="M742" s="9" t="s">
        <v>33</v>
      </c>
      <c r="N742" s="10">
        <f t="shared" si="132"/>
        <v>0</v>
      </c>
      <c r="O742" s="10">
        <f t="shared" si="127"/>
        <v>0</v>
      </c>
      <c r="P742" s="10">
        <f t="shared" si="128"/>
        <v>0</v>
      </c>
      <c r="Q742" s="11">
        <f t="shared" si="130"/>
        <v>0</v>
      </c>
      <c r="R742" s="9"/>
      <c r="S742" s="92">
        <f t="shared" si="129"/>
      </c>
      <c r="V742" s="104">
        <f t="shared" si="122"/>
        <v>0</v>
      </c>
    </row>
    <row r="743" spans="2:22" ht="12.75">
      <c r="B743" s="9">
        <v>356</v>
      </c>
      <c r="C743" s="9" t="s">
        <v>34</v>
      </c>
      <c r="D743" s="10">
        <f t="shared" si="123"/>
        <v>0</v>
      </c>
      <c r="E743" s="10">
        <f t="shared" si="124"/>
        <v>0</v>
      </c>
      <c r="F743" s="10">
        <f t="shared" si="125"/>
        <v>0</v>
      </c>
      <c r="G743" s="11">
        <f t="shared" si="126"/>
        <v>0</v>
      </c>
      <c r="I743" s="92">
        <f t="shared" si="131"/>
      </c>
      <c r="L743" s="9">
        <v>356</v>
      </c>
      <c r="M743" s="9" t="s">
        <v>34</v>
      </c>
      <c r="N743" s="10">
        <f t="shared" si="132"/>
        <v>0</v>
      </c>
      <c r="O743" s="10">
        <f t="shared" si="127"/>
        <v>0</v>
      </c>
      <c r="P743" s="10">
        <f t="shared" si="128"/>
        <v>0</v>
      </c>
      <c r="Q743" s="11">
        <f t="shared" si="130"/>
        <v>0</v>
      </c>
      <c r="R743" s="9"/>
      <c r="S743" s="92">
        <f t="shared" si="129"/>
      </c>
      <c r="V743" s="104">
        <f t="shared" si="122"/>
        <v>0</v>
      </c>
    </row>
    <row r="744" spans="2:22" ht="12.75">
      <c r="B744" s="9">
        <v>357</v>
      </c>
      <c r="C744" s="9" t="s">
        <v>35</v>
      </c>
      <c r="D744" s="10">
        <f t="shared" si="123"/>
        <v>0</v>
      </c>
      <c r="E744" s="10">
        <f t="shared" si="124"/>
        <v>0</v>
      </c>
      <c r="F744" s="10">
        <f t="shared" si="125"/>
        <v>0</v>
      </c>
      <c r="G744" s="11">
        <f t="shared" si="126"/>
        <v>0</v>
      </c>
      <c r="I744" s="92">
        <f t="shared" si="131"/>
      </c>
      <c r="L744" s="9">
        <v>357</v>
      </c>
      <c r="M744" s="9" t="s">
        <v>35</v>
      </c>
      <c r="N744" s="10">
        <f t="shared" si="132"/>
        <v>0</v>
      </c>
      <c r="O744" s="10">
        <f t="shared" si="127"/>
        <v>0</v>
      </c>
      <c r="P744" s="10">
        <f t="shared" si="128"/>
        <v>0</v>
      </c>
      <c r="Q744" s="11">
        <f t="shared" si="130"/>
        <v>0</v>
      </c>
      <c r="R744" s="9"/>
      <c r="S744" s="92">
        <f t="shared" si="129"/>
      </c>
      <c r="V744" s="104">
        <f t="shared" si="122"/>
        <v>0</v>
      </c>
    </row>
    <row r="745" spans="2:22" ht="12.75">
      <c r="B745" s="9">
        <v>358</v>
      </c>
      <c r="C745" s="9" t="s">
        <v>36</v>
      </c>
      <c r="D745" s="10">
        <f t="shared" si="123"/>
        <v>0</v>
      </c>
      <c r="E745" s="10">
        <f t="shared" si="124"/>
        <v>0</v>
      </c>
      <c r="F745" s="10">
        <f t="shared" si="125"/>
        <v>0</v>
      </c>
      <c r="G745" s="11">
        <f t="shared" si="126"/>
        <v>0</v>
      </c>
      <c r="I745" s="92">
        <f t="shared" si="131"/>
      </c>
      <c r="L745" s="9">
        <v>358</v>
      </c>
      <c r="M745" s="9" t="s">
        <v>36</v>
      </c>
      <c r="N745" s="10">
        <f t="shared" si="132"/>
        <v>0</v>
      </c>
      <c r="O745" s="10">
        <f t="shared" si="127"/>
        <v>0</v>
      </c>
      <c r="P745" s="10">
        <f t="shared" si="128"/>
        <v>0</v>
      </c>
      <c r="Q745" s="11">
        <f t="shared" si="130"/>
        <v>0</v>
      </c>
      <c r="R745" s="9"/>
      <c r="S745" s="92">
        <f t="shared" si="129"/>
      </c>
      <c r="V745" s="104">
        <f t="shared" si="122"/>
        <v>0</v>
      </c>
    </row>
    <row r="746" spans="2:22" ht="12.75">
      <c r="B746" s="9">
        <v>359</v>
      </c>
      <c r="C746" s="9" t="s">
        <v>37</v>
      </c>
      <c r="D746" s="10">
        <f t="shared" si="123"/>
        <v>0</v>
      </c>
      <c r="E746" s="10">
        <f t="shared" si="124"/>
        <v>0</v>
      </c>
      <c r="F746" s="10">
        <f t="shared" si="125"/>
        <v>0</v>
      </c>
      <c r="G746" s="11">
        <f t="shared" si="126"/>
        <v>0</v>
      </c>
      <c r="I746" s="92">
        <f t="shared" si="131"/>
      </c>
      <c r="L746" s="9">
        <v>359</v>
      </c>
      <c r="M746" s="9" t="s">
        <v>37</v>
      </c>
      <c r="N746" s="10">
        <f t="shared" si="132"/>
        <v>0</v>
      </c>
      <c r="O746" s="10">
        <f t="shared" si="127"/>
        <v>0</v>
      </c>
      <c r="P746" s="10">
        <f t="shared" si="128"/>
        <v>0</v>
      </c>
      <c r="Q746" s="11">
        <f t="shared" si="130"/>
        <v>0</v>
      </c>
      <c r="R746" s="9"/>
      <c r="S746" s="92">
        <f t="shared" si="129"/>
      </c>
      <c r="V746" s="104">
        <f t="shared" si="122"/>
        <v>0</v>
      </c>
    </row>
    <row r="747" spans="2:22" ht="12.75">
      <c r="B747" s="9">
        <v>360</v>
      </c>
      <c r="C747" s="9" t="s">
        <v>38</v>
      </c>
      <c r="D747" s="10">
        <f t="shared" si="123"/>
        <v>0</v>
      </c>
      <c r="E747" s="10">
        <f t="shared" si="124"/>
        <v>0</v>
      </c>
      <c r="F747" s="10">
        <f t="shared" si="125"/>
        <v>0</v>
      </c>
      <c r="G747" s="11">
        <f>G746-F747-H746</f>
        <v>0</v>
      </c>
      <c r="I747" s="92">
        <f t="shared" si="131"/>
      </c>
      <c r="L747" s="9">
        <v>360</v>
      </c>
      <c r="M747" s="9" t="s">
        <v>38</v>
      </c>
      <c r="N747" s="10">
        <f t="shared" si="132"/>
        <v>0</v>
      </c>
      <c r="O747" s="10">
        <f t="shared" si="127"/>
        <v>0</v>
      </c>
      <c r="P747" s="10">
        <f t="shared" si="128"/>
        <v>0</v>
      </c>
      <c r="Q747" s="11">
        <f t="shared" si="130"/>
        <v>0</v>
      </c>
      <c r="R747" s="9"/>
      <c r="S747" s="92">
        <f t="shared" si="129"/>
      </c>
      <c r="T747" s="129"/>
      <c r="U747" s="129"/>
      <c r="V747" s="104">
        <f>SUM(D747+N747)</f>
        <v>0</v>
      </c>
    </row>
    <row r="748" spans="2:23" ht="12.75">
      <c r="B748" s="2"/>
      <c r="C748" s="9"/>
      <c r="D748" s="10"/>
      <c r="E748" s="10"/>
      <c r="F748" s="10"/>
      <c r="G748" s="140"/>
      <c r="I748" s="92"/>
      <c r="K748">
        <v>30</v>
      </c>
      <c r="L748" s="84">
        <v>361</v>
      </c>
      <c r="M748" s="84" t="s">
        <v>27</v>
      </c>
      <c r="N748" s="85">
        <f t="shared" si="132"/>
        <v>0</v>
      </c>
      <c r="O748" s="85">
        <f t="shared" si="127"/>
        <v>0</v>
      </c>
      <c r="P748" s="85">
        <f t="shared" si="128"/>
        <v>0</v>
      </c>
      <c r="Q748" s="86">
        <f t="shared" si="130"/>
        <v>0</v>
      </c>
      <c r="R748" s="68">
        <f>IF((Q747-P748)&gt;Energie!S40,Energie!S40,(Q747-P748))</f>
        <v>0</v>
      </c>
      <c r="S748" s="92">
        <f t="shared" si="129"/>
      </c>
      <c r="T748" s="129"/>
      <c r="U748" s="128">
        <f>(SUM(N736:N747)+R748+U736)</f>
        <v>482946.8702407023</v>
      </c>
      <c r="V748" s="104">
        <f aca="true" t="shared" si="133" ref="V748:V811">SUM(D748+N748)</f>
        <v>0</v>
      </c>
      <c r="W748" s="104">
        <f>SUM(V736:V747)</f>
        <v>0</v>
      </c>
    </row>
    <row r="749" spans="2:22" ht="12.75">
      <c r="B749" s="2"/>
      <c r="C749" s="9"/>
      <c r="D749" s="10"/>
      <c r="E749" s="10"/>
      <c r="F749" s="10"/>
      <c r="G749" s="140"/>
      <c r="I749" s="92"/>
      <c r="L749" s="9">
        <v>362</v>
      </c>
      <c r="M749" s="9" t="s">
        <v>28</v>
      </c>
      <c r="N749" s="10">
        <f t="shared" si="132"/>
        <v>0</v>
      </c>
      <c r="O749" s="10">
        <f t="shared" si="127"/>
        <v>0</v>
      </c>
      <c r="P749" s="10">
        <f t="shared" si="128"/>
        <v>0</v>
      </c>
      <c r="Q749" s="11">
        <f t="shared" si="130"/>
        <v>0</v>
      </c>
      <c r="R749" s="9"/>
      <c r="S749" s="92">
        <f t="shared" si="129"/>
      </c>
      <c r="T749" s="129"/>
      <c r="U749" s="129"/>
      <c r="V749" s="104">
        <f t="shared" si="133"/>
        <v>0</v>
      </c>
    </row>
    <row r="750" spans="2:22" ht="12.75">
      <c r="B750" s="2"/>
      <c r="C750" s="9"/>
      <c r="D750" s="10"/>
      <c r="E750" s="10"/>
      <c r="F750" s="10"/>
      <c r="G750" s="140"/>
      <c r="I750" s="92"/>
      <c r="L750" s="9">
        <v>363</v>
      </c>
      <c r="M750" s="9" t="s">
        <v>29</v>
      </c>
      <c r="N750" s="10">
        <f t="shared" si="132"/>
        <v>0</v>
      </c>
      <c r="O750" s="10">
        <f t="shared" si="127"/>
        <v>0</v>
      </c>
      <c r="P750" s="10">
        <f t="shared" si="128"/>
        <v>0</v>
      </c>
      <c r="Q750" s="11">
        <f t="shared" si="130"/>
        <v>0</v>
      </c>
      <c r="R750" s="9"/>
      <c r="S750" s="92">
        <f t="shared" si="129"/>
      </c>
      <c r="T750" s="129"/>
      <c r="U750" s="129"/>
      <c r="V750" s="104">
        <f t="shared" si="133"/>
        <v>0</v>
      </c>
    </row>
    <row r="751" spans="2:22" ht="12.75">
      <c r="B751" s="2"/>
      <c r="C751" s="9"/>
      <c r="D751" s="10"/>
      <c r="E751" s="10"/>
      <c r="F751" s="10"/>
      <c r="G751" s="140"/>
      <c r="I751" s="92"/>
      <c r="L751" s="9">
        <v>364</v>
      </c>
      <c r="M751" s="9" t="s">
        <v>30</v>
      </c>
      <c r="N751" s="10">
        <f t="shared" si="132"/>
        <v>0</v>
      </c>
      <c r="O751" s="10">
        <f t="shared" si="127"/>
        <v>0</v>
      </c>
      <c r="P751" s="10">
        <f t="shared" si="128"/>
        <v>0</v>
      </c>
      <c r="Q751" s="11">
        <f t="shared" si="130"/>
        <v>0</v>
      </c>
      <c r="R751" s="9"/>
      <c r="S751" s="92">
        <f t="shared" si="129"/>
      </c>
      <c r="T751" s="129"/>
      <c r="U751" s="129"/>
      <c r="V751" s="104">
        <f t="shared" si="133"/>
        <v>0</v>
      </c>
    </row>
    <row r="752" spans="2:22" ht="12.75">
      <c r="B752" s="2"/>
      <c r="C752" s="9"/>
      <c r="D752" s="10"/>
      <c r="E752" s="10"/>
      <c r="F752" s="10"/>
      <c r="G752" s="140"/>
      <c r="I752" s="92"/>
      <c r="L752" s="9">
        <v>365</v>
      </c>
      <c r="M752" s="9" t="s">
        <v>31</v>
      </c>
      <c r="N752" s="10">
        <f t="shared" si="132"/>
        <v>0</v>
      </c>
      <c r="O752" s="10">
        <f t="shared" si="127"/>
        <v>0</v>
      </c>
      <c r="P752" s="10">
        <f t="shared" si="128"/>
        <v>0</v>
      </c>
      <c r="Q752" s="11">
        <f t="shared" si="130"/>
        <v>0</v>
      </c>
      <c r="R752" s="9"/>
      <c r="S752" s="92">
        <f t="shared" si="129"/>
      </c>
      <c r="T752" s="129"/>
      <c r="U752" s="129"/>
      <c r="V752" s="104">
        <f t="shared" si="133"/>
        <v>0</v>
      </c>
    </row>
    <row r="753" spans="2:22" ht="12.75">
      <c r="B753" s="2"/>
      <c r="C753" s="9"/>
      <c r="D753" s="10"/>
      <c r="E753" s="10"/>
      <c r="F753" s="10"/>
      <c r="G753" s="140"/>
      <c r="I753" s="92"/>
      <c r="L753" s="9">
        <v>366</v>
      </c>
      <c r="M753" s="9" t="s">
        <v>32</v>
      </c>
      <c r="N753" s="10">
        <f t="shared" si="132"/>
        <v>0</v>
      </c>
      <c r="O753" s="10">
        <f t="shared" si="127"/>
        <v>0</v>
      </c>
      <c r="P753" s="10">
        <f t="shared" si="128"/>
        <v>0</v>
      </c>
      <c r="Q753" s="11">
        <f t="shared" si="130"/>
        <v>0</v>
      </c>
      <c r="R753" s="9"/>
      <c r="S753" s="92">
        <f t="shared" si="129"/>
      </c>
      <c r="T753" s="129"/>
      <c r="U753" s="129"/>
      <c r="V753" s="104">
        <f t="shared" si="133"/>
        <v>0</v>
      </c>
    </row>
    <row r="754" spans="2:22" ht="12.75">
      <c r="B754" s="2"/>
      <c r="C754" s="9"/>
      <c r="D754" s="10"/>
      <c r="E754" s="10"/>
      <c r="F754" s="10"/>
      <c r="G754" s="140"/>
      <c r="I754" s="92"/>
      <c r="L754" s="9">
        <v>367</v>
      </c>
      <c r="M754" s="9" t="s">
        <v>33</v>
      </c>
      <c r="N754" s="10">
        <f t="shared" si="132"/>
        <v>0</v>
      </c>
      <c r="O754" s="10">
        <f t="shared" si="127"/>
        <v>0</v>
      </c>
      <c r="P754" s="10">
        <f t="shared" si="128"/>
        <v>0</v>
      </c>
      <c r="Q754" s="11">
        <f t="shared" si="130"/>
        <v>0</v>
      </c>
      <c r="R754" s="9"/>
      <c r="S754" s="92">
        <f t="shared" si="129"/>
      </c>
      <c r="T754" s="129"/>
      <c r="U754" s="129"/>
      <c r="V754" s="104">
        <f t="shared" si="133"/>
        <v>0</v>
      </c>
    </row>
    <row r="755" spans="2:22" ht="12.75">
      <c r="B755" s="2"/>
      <c r="C755" s="9"/>
      <c r="D755" s="10"/>
      <c r="E755" s="10"/>
      <c r="F755" s="10"/>
      <c r="G755" s="140"/>
      <c r="I755" s="92"/>
      <c r="L755" s="9">
        <v>368</v>
      </c>
      <c r="M755" s="9" t="s">
        <v>34</v>
      </c>
      <c r="N755" s="10">
        <f t="shared" si="132"/>
        <v>0</v>
      </c>
      <c r="O755" s="10">
        <f t="shared" si="127"/>
        <v>0</v>
      </c>
      <c r="P755" s="10">
        <f t="shared" si="128"/>
        <v>0</v>
      </c>
      <c r="Q755" s="11">
        <f t="shared" si="130"/>
        <v>0</v>
      </c>
      <c r="R755" s="9"/>
      <c r="S755" s="92">
        <f t="shared" si="129"/>
      </c>
      <c r="T755" s="129"/>
      <c r="U755" s="129"/>
      <c r="V755" s="104">
        <f t="shared" si="133"/>
        <v>0</v>
      </c>
    </row>
    <row r="756" spans="2:22" ht="12.75">
      <c r="B756" s="2"/>
      <c r="C756" s="9"/>
      <c r="D756" s="10"/>
      <c r="E756" s="10"/>
      <c r="F756" s="10"/>
      <c r="G756" s="140"/>
      <c r="I756" s="92"/>
      <c r="L756" s="9">
        <v>369</v>
      </c>
      <c r="M756" s="9" t="s">
        <v>35</v>
      </c>
      <c r="N756" s="10">
        <f t="shared" si="132"/>
        <v>0</v>
      </c>
      <c r="O756" s="10">
        <f t="shared" si="127"/>
        <v>0</v>
      </c>
      <c r="P756" s="10">
        <f t="shared" si="128"/>
        <v>0</v>
      </c>
      <c r="Q756" s="11">
        <f t="shared" si="130"/>
        <v>0</v>
      </c>
      <c r="R756" s="9"/>
      <c r="S756" s="92">
        <f t="shared" si="129"/>
      </c>
      <c r="T756" s="129"/>
      <c r="U756" s="129"/>
      <c r="V756" s="104">
        <f t="shared" si="133"/>
        <v>0</v>
      </c>
    </row>
    <row r="757" spans="2:22" ht="12.75">
      <c r="B757" s="2"/>
      <c r="C757" s="9"/>
      <c r="D757" s="10"/>
      <c r="E757" s="10"/>
      <c r="F757" s="10"/>
      <c r="G757" s="140"/>
      <c r="I757" s="92"/>
      <c r="L757" s="9">
        <v>370</v>
      </c>
      <c r="M757" s="9" t="s">
        <v>36</v>
      </c>
      <c r="N757" s="10">
        <f t="shared" si="132"/>
        <v>0</v>
      </c>
      <c r="O757" s="10">
        <f t="shared" si="127"/>
        <v>0</v>
      </c>
      <c r="P757" s="10">
        <f t="shared" si="128"/>
        <v>0</v>
      </c>
      <c r="Q757" s="11">
        <f t="shared" si="130"/>
        <v>0</v>
      </c>
      <c r="R757" s="9"/>
      <c r="S757" s="92">
        <f t="shared" si="129"/>
      </c>
      <c r="T757" s="129"/>
      <c r="U757" s="129"/>
      <c r="V757" s="104">
        <f t="shared" si="133"/>
        <v>0</v>
      </c>
    </row>
    <row r="758" spans="2:22" ht="12.75">
      <c r="B758" s="2"/>
      <c r="C758" s="9"/>
      <c r="D758" s="10"/>
      <c r="E758" s="10"/>
      <c r="F758" s="10"/>
      <c r="G758" s="140"/>
      <c r="I758" s="92"/>
      <c r="L758" s="9">
        <v>371</v>
      </c>
      <c r="M758" s="9" t="s">
        <v>37</v>
      </c>
      <c r="N758" s="10">
        <f t="shared" si="132"/>
        <v>0</v>
      </c>
      <c r="O758" s="10">
        <f t="shared" si="127"/>
        <v>0</v>
      </c>
      <c r="P758" s="10">
        <f t="shared" si="128"/>
        <v>0</v>
      </c>
      <c r="Q758" s="11">
        <f t="shared" si="130"/>
        <v>0</v>
      </c>
      <c r="R758" s="9"/>
      <c r="S758" s="92">
        <f t="shared" si="129"/>
      </c>
      <c r="T758" s="129"/>
      <c r="U758" s="129"/>
      <c r="V758" s="104">
        <f t="shared" si="133"/>
        <v>0</v>
      </c>
    </row>
    <row r="759" spans="2:22" ht="12.75">
      <c r="B759" s="2"/>
      <c r="C759" s="9"/>
      <c r="D759" s="10"/>
      <c r="E759" s="10"/>
      <c r="F759" s="10"/>
      <c r="G759" s="140"/>
      <c r="I759" s="92"/>
      <c r="L759" s="9">
        <v>372</v>
      </c>
      <c r="M759" s="9" t="s">
        <v>38</v>
      </c>
      <c r="N759" s="10">
        <f t="shared" si="132"/>
        <v>0</v>
      </c>
      <c r="O759" s="10">
        <f t="shared" si="127"/>
        <v>0</v>
      </c>
      <c r="P759" s="10">
        <f t="shared" si="128"/>
        <v>0</v>
      </c>
      <c r="Q759" s="11">
        <f t="shared" si="130"/>
        <v>0</v>
      </c>
      <c r="R759" s="9"/>
      <c r="S759" s="92">
        <f t="shared" si="129"/>
      </c>
      <c r="T759" s="129"/>
      <c r="U759" s="129"/>
      <c r="V759" s="104">
        <f t="shared" si="133"/>
        <v>0</v>
      </c>
    </row>
    <row r="760" spans="2:23" ht="12.75">
      <c r="B760" s="2"/>
      <c r="C760" s="9"/>
      <c r="D760" s="10"/>
      <c r="E760" s="10"/>
      <c r="F760" s="10"/>
      <c r="G760" s="140"/>
      <c r="I760" s="92"/>
      <c r="K760">
        <v>31</v>
      </c>
      <c r="L760" s="84">
        <v>373</v>
      </c>
      <c r="M760" s="84" t="s">
        <v>27</v>
      </c>
      <c r="N760" s="85">
        <f t="shared" si="132"/>
        <v>0</v>
      </c>
      <c r="O760" s="85">
        <f t="shared" si="127"/>
        <v>0</v>
      </c>
      <c r="P760" s="85">
        <f t="shared" si="128"/>
        <v>0</v>
      </c>
      <c r="Q760" s="86">
        <f t="shared" si="130"/>
        <v>0</v>
      </c>
      <c r="R760" s="68">
        <f>IF((Q759-P760)&gt;Energie!S42,Energie!S42,(Q759-P760))</f>
        <v>0</v>
      </c>
      <c r="S760" s="92">
        <f t="shared" si="129"/>
      </c>
      <c r="T760" s="129"/>
      <c r="U760" s="128">
        <f>(SUM(N748:N759)+R760+U748)</f>
        <v>482946.8702407023</v>
      </c>
      <c r="V760" s="104">
        <f t="shared" si="133"/>
        <v>0</v>
      </c>
      <c r="W760" s="104">
        <f>SUM(V748:V759)</f>
        <v>0</v>
      </c>
    </row>
    <row r="761" spans="2:22" ht="12.75">
      <c r="B761" s="2"/>
      <c r="C761" s="9"/>
      <c r="D761" s="10"/>
      <c r="E761" s="10"/>
      <c r="F761" s="10"/>
      <c r="G761" s="140"/>
      <c r="I761" s="92"/>
      <c r="L761" s="9">
        <v>374</v>
      </c>
      <c r="M761" s="9" t="s">
        <v>28</v>
      </c>
      <c r="N761" s="10">
        <f t="shared" si="132"/>
        <v>0</v>
      </c>
      <c r="O761" s="10">
        <f t="shared" si="127"/>
        <v>0</v>
      </c>
      <c r="P761" s="10">
        <f t="shared" si="128"/>
        <v>0</v>
      </c>
      <c r="Q761" s="11">
        <f t="shared" si="130"/>
        <v>0</v>
      </c>
      <c r="R761" s="9"/>
      <c r="S761" s="92">
        <f t="shared" si="129"/>
      </c>
      <c r="T761" s="129"/>
      <c r="U761" s="129"/>
      <c r="V761" s="104">
        <f t="shared" si="133"/>
        <v>0</v>
      </c>
    </row>
    <row r="762" spans="2:22" ht="12.75">
      <c r="B762" s="2"/>
      <c r="C762" s="9"/>
      <c r="D762" s="10"/>
      <c r="E762" s="10"/>
      <c r="F762" s="10"/>
      <c r="G762" s="140"/>
      <c r="I762" s="92"/>
      <c r="L762" s="9">
        <v>375</v>
      </c>
      <c r="M762" s="9" t="s">
        <v>29</v>
      </c>
      <c r="N762" s="10">
        <f t="shared" si="132"/>
        <v>0</v>
      </c>
      <c r="O762" s="10">
        <f t="shared" si="127"/>
        <v>0</v>
      </c>
      <c r="P762" s="10">
        <f t="shared" si="128"/>
        <v>0</v>
      </c>
      <c r="Q762" s="11">
        <f t="shared" si="130"/>
        <v>0</v>
      </c>
      <c r="R762" s="9"/>
      <c r="S762" s="92">
        <f t="shared" si="129"/>
      </c>
      <c r="T762" s="129"/>
      <c r="U762" s="129"/>
      <c r="V762" s="104">
        <f t="shared" si="133"/>
        <v>0</v>
      </c>
    </row>
    <row r="763" spans="2:22" ht="12.75">
      <c r="B763" s="2"/>
      <c r="C763" s="9"/>
      <c r="D763" s="10"/>
      <c r="E763" s="10"/>
      <c r="F763" s="10"/>
      <c r="G763" s="140"/>
      <c r="I763" s="92"/>
      <c r="L763" s="9">
        <v>376</v>
      </c>
      <c r="M763" s="9" t="s">
        <v>30</v>
      </c>
      <c r="N763" s="10">
        <f t="shared" si="132"/>
        <v>0</v>
      </c>
      <c r="O763" s="10">
        <f t="shared" si="127"/>
        <v>0</v>
      </c>
      <c r="P763" s="10">
        <f t="shared" si="128"/>
        <v>0</v>
      </c>
      <c r="Q763" s="11">
        <f t="shared" si="130"/>
        <v>0</v>
      </c>
      <c r="R763" s="9"/>
      <c r="S763" s="92">
        <f t="shared" si="129"/>
      </c>
      <c r="T763" s="129"/>
      <c r="U763" s="129"/>
      <c r="V763" s="104">
        <f t="shared" si="133"/>
        <v>0</v>
      </c>
    </row>
    <row r="764" spans="2:22" ht="12.75">
      <c r="B764" s="2"/>
      <c r="C764" s="9"/>
      <c r="D764" s="10"/>
      <c r="E764" s="10"/>
      <c r="F764" s="10"/>
      <c r="G764" s="140"/>
      <c r="I764" s="92"/>
      <c r="L764" s="9">
        <v>377</v>
      </c>
      <c r="M764" s="9" t="s">
        <v>31</v>
      </c>
      <c r="N764" s="10">
        <f t="shared" si="132"/>
        <v>0</v>
      </c>
      <c r="O764" s="10">
        <f t="shared" si="127"/>
        <v>0</v>
      </c>
      <c r="P764" s="10">
        <f t="shared" si="128"/>
        <v>0</v>
      </c>
      <c r="Q764" s="11">
        <f t="shared" si="130"/>
        <v>0</v>
      </c>
      <c r="R764" s="9"/>
      <c r="S764" s="92">
        <f t="shared" si="129"/>
      </c>
      <c r="T764" s="129"/>
      <c r="U764" s="129"/>
      <c r="V764" s="104">
        <f t="shared" si="133"/>
        <v>0</v>
      </c>
    </row>
    <row r="765" spans="2:22" ht="12.75">
      <c r="B765" s="2"/>
      <c r="C765" s="9"/>
      <c r="D765" s="10"/>
      <c r="E765" s="10"/>
      <c r="F765" s="10"/>
      <c r="G765" s="140"/>
      <c r="I765" s="92"/>
      <c r="L765" s="9">
        <v>378</v>
      </c>
      <c r="M765" s="9" t="s">
        <v>32</v>
      </c>
      <c r="N765" s="10">
        <f t="shared" si="132"/>
        <v>0</v>
      </c>
      <c r="O765" s="10">
        <f t="shared" si="127"/>
        <v>0</v>
      </c>
      <c r="P765" s="10">
        <f t="shared" si="128"/>
        <v>0</v>
      </c>
      <c r="Q765" s="11">
        <f t="shared" si="130"/>
        <v>0</v>
      </c>
      <c r="R765" s="9"/>
      <c r="S765" s="92">
        <f t="shared" si="129"/>
      </c>
      <c r="T765" s="129"/>
      <c r="U765" s="129"/>
      <c r="V765" s="104">
        <f t="shared" si="133"/>
        <v>0</v>
      </c>
    </row>
    <row r="766" spans="2:22" ht="12.75">
      <c r="B766" s="2"/>
      <c r="C766" s="9"/>
      <c r="D766" s="10"/>
      <c r="E766" s="10"/>
      <c r="F766" s="10"/>
      <c r="G766" s="140"/>
      <c r="I766" s="92"/>
      <c r="L766" s="9">
        <v>379</v>
      </c>
      <c r="M766" s="9" t="s">
        <v>33</v>
      </c>
      <c r="N766" s="10">
        <f t="shared" si="132"/>
        <v>0</v>
      </c>
      <c r="O766" s="10">
        <f t="shared" si="127"/>
        <v>0</v>
      </c>
      <c r="P766" s="10">
        <f t="shared" si="128"/>
        <v>0</v>
      </c>
      <c r="Q766" s="11">
        <f t="shared" si="130"/>
        <v>0</v>
      </c>
      <c r="R766" s="9"/>
      <c r="S766" s="92">
        <f t="shared" si="129"/>
      </c>
      <c r="T766" s="129"/>
      <c r="U766" s="129"/>
      <c r="V766" s="104">
        <f t="shared" si="133"/>
        <v>0</v>
      </c>
    </row>
    <row r="767" spans="2:22" ht="12.75">
      <c r="B767" s="2"/>
      <c r="C767" s="9"/>
      <c r="D767" s="10"/>
      <c r="E767" s="10"/>
      <c r="F767" s="10"/>
      <c r="G767" s="140"/>
      <c r="I767" s="92"/>
      <c r="L767" s="9">
        <v>380</v>
      </c>
      <c r="M767" s="9" t="s">
        <v>34</v>
      </c>
      <c r="N767" s="10">
        <f>IF(Q766&lt;(N$376+D$376),Q766+O767,(N$376+D$376))</f>
        <v>0</v>
      </c>
      <c r="O767" s="10">
        <f t="shared" si="127"/>
        <v>0</v>
      </c>
      <c r="P767" s="10">
        <f t="shared" si="128"/>
        <v>0</v>
      </c>
      <c r="Q767" s="11">
        <f t="shared" si="130"/>
        <v>0</v>
      </c>
      <c r="R767" s="9"/>
      <c r="S767" s="92">
        <f t="shared" si="129"/>
      </c>
      <c r="T767" s="129"/>
      <c r="U767" s="129"/>
      <c r="V767" s="104">
        <f t="shared" si="133"/>
        <v>0</v>
      </c>
    </row>
    <row r="768" spans="2:22" ht="12.75">
      <c r="B768" s="2"/>
      <c r="C768" s="9"/>
      <c r="D768" s="10"/>
      <c r="E768" s="10"/>
      <c r="F768" s="10"/>
      <c r="G768" s="140"/>
      <c r="I768" s="92"/>
      <c r="L768" s="9">
        <v>381</v>
      </c>
      <c r="M768" s="9" t="s">
        <v>35</v>
      </c>
      <c r="N768" s="10">
        <f aca="true" t="shared" si="134" ref="N768:N803">IF(Q767&lt;(N$376+D$376),Q767+O768,(N$376+D$376))</f>
        <v>0</v>
      </c>
      <c r="O768" s="10">
        <f t="shared" si="127"/>
        <v>0</v>
      </c>
      <c r="P768" s="10">
        <f t="shared" si="128"/>
        <v>0</v>
      </c>
      <c r="Q768" s="11">
        <f t="shared" si="130"/>
        <v>0</v>
      </c>
      <c r="R768" s="9"/>
      <c r="S768" s="92">
        <f t="shared" si="129"/>
      </c>
      <c r="T768" s="129"/>
      <c r="U768" s="129"/>
      <c r="V768" s="104">
        <f t="shared" si="133"/>
        <v>0</v>
      </c>
    </row>
    <row r="769" spans="2:22" ht="12.75">
      <c r="B769" s="2"/>
      <c r="C769" s="9"/>
      <c r="D769" s="10"/>
      <c r="E769" s="10"/>
      <c r="F769" s="10"/>
      <c r="G769" s="140"/>
      <c r="I769" s="92"/>
      <c r="L769" s="9">
        <v>382</v>
      </c>
      <c r="M769" s="9" t="s">
        <v>36</v>
      </c>
      <c r="N769" s="10">
        <f t="shared" si="134"/>
        <v>0</v>
      </c>
      <c r="O769" s="10">
        <f t="shared" si="127"/>
        <v>0</v>
      </c>
      <c r="P769" s="10">
        <f t="shared" si="128"/>
        <v>0</v>
      </c>
      <c r="Q769" s="11">
        <f t="shared" si="130"/>
        <v>0</v>
      </c>
      <c r="R769" s="9"/>
      <c r="S769" s="92">
        <f t="shared" si="129"/>
      </c>
      <c r="T769" s="129"/>
      <c r="U769" s="129"/>
      <c r="V769" s="104">
        <f t="shared" si="133"/>
        <v>0</v>
      </c>
    </row>
    <row r="770" spans="2:22" ht="12.75">
      <c r="B770" s="2"/>
      <c r="C770" s="9"/>
      <c r="D770" s="10"/>
      <c r="E770" s="10"/>
      <c r="F770" s="10"/>
      <c r="G770" s="140"/>
      <c r="I770" s="92"/>
      <c r="L770" s="9">
        <v>383</v>
      </c>
      <c r="M770" s="9" t="s">
        <v>37</v>
      </c>
      <c r="N770" s="10">
        <f t="shared" si="134"/>
        <v>0</v>
      </c>
      <c r="O770" s="10">
        <f t="shared" si="127"/>
        <v>0</v>
      </c>
      <c r="P770" s="10">
        <f t="shared" si="128"/>
        <v>0</v>
      </c>
      <c r="Q770" s="11">
        <f t="shared" si="130"/>
        <v>0</v>
      </c>
      <c r="R770" s="9"/>
      <c r="S770" s="92">
        <f t="shared" si="129"/>
      </c>
      <c r="T770" s="129"/>
      <c r="U770" s="129"/>
      <c r="V770" s="104">
        <f t="shared" si="133"/>
        <v>0</v>
      </c>
    </row>
    <row r="771" spans="2:22" ht="12.75">
      <c r="B771" s="2"/>
      <c r="C771" s="9"/>
      <c r="D771" s="10"/>
      <c r="E771" s="10"/>
      <c r="F771" s="10"/>
      <c r="G771" s="140"/>
      <c r="I771" s="92"/>
      <c r="L771" s="9">
        <v>384</v>
      </c>
      <c r="M771" s="9" t="s">
        <v>38</v>
      </c>
      <c r="N771" s="10">
        <f t="shared" si="134"/>
        <v>0</v>
      </c>
      <c r="O771" s="10">
        <f t="shared" si="127"/>
        <v>0</v>
      </c>
      <c r="P771" s="10">
        <f t="shared" si="128"/>
        <v>0</v>
      </c>
      <c r="Q771" s="11">
        <f t="shared" si="130"/>
        <v>0</v>
      </c>
      <c r="R771" s="9"/>
      <c r="S771" s="92">
        <f t="shared" si="129"/>
      </c>
      <c r="T771" s="129"/>
      <c r="U771" s="129"/>
      <c r="V771" s="104">
        <f t="shared" si="133"/>
        <v>0</v>
      </c>
    </row>
    <row r="772" spans="2:23" ht="12.75">
      <c r="B772" s="2"/>
      <c r="C772" s="9"/>
      <c r="D772" s="10"/>
      <c r="E772" s="10"/>
      <c r="F772" s="10"/>
      <c r="G772" s="140"/>
      <c r="I772" s="92"/>
      <c r="K772">
        <v>32</v>
      </c>
      <c r="L772" s="84">
        <v>385</v>
      </c>
      <c r="M772" s="84" t="s">
        <v>27</v>
      </c>
      <c r="N772" s="85">
        <f t="shared" si="134"/>
        <v>0</v>
      </c>
      <c r="O772" s="85">
        <f t="shared" si="127"/>
        <v>0</v>
      </c>
      <c r="P772" s="85">
        <f t="shared" si="128"/>
        <v>0</v>
      </c>
      <c r="Q772" s="86">
        <f t="shared" si="130"/>
        <v>0</v>
      </c>
      <c r="R772" s="68">
        <f>IF((Q771-P772)&gt;Energie!S43,Energie!S43,(Q771-P772))</f>
        <v>0</v>
      </c>
      <c r="S772" s="92">
        <f t="shared" si="129"/>
      </c>
      <c r="T772" s="129"/>
      <c r="U772" s="128">
        <f>(SUM(N760:N771)+R772+U760)</f>
        <v>482946.8702407023</v>
      </c>
      <c r="V772" s="104">
        <f t="shared" si="133"/>
        <v>0</v>
      </c>
      <c r="W772" s="104">
        <f>SUM(V760:V771)</f>
        <v>0</v>
      </c>
    </row>
    <row r="773" spans="2:22" ht="12.75">
      <c r="B773" s="2"/>
      <c r="C773" s="9"/>
      <c r="D773" s="10"/>
      <c r="E773" s="10"/>
      <c r="F773" s="10"/>
      <c r="G773" s="140"/>
      <c r="I773" s="92"/>
      <c r="L773" s="9">
        <v>386</v>
      </c>
      <c r="M773" s="9" t="s">
        <v>28</v>
      </c>
      <c r="N773" s="10">
        <f t="shared" si="134"/>
        <v>0</v>
      </c>
      <c r="O773" s="10">
        <f aca="true" t="shared" si="135" ref="O773:O831">IF(Q772/100*O$376/12&lt;0,0,Q772/100*O$376/12)</f>
        <v>0</v>
      </c>
      <c r="P773" s="10">
        <f aca="true" t="shared" si="136" ref="P773:P783">N773-O773</f>
        <v>0</v>
      </c>
      <c r="Q773" s="11">
        <f t="shared" si="130"/>
        <v>0</v>
      </c>
      <c r="R773" s="9"/>
      <c r="S773" s="92">
        <f t="shared" si="129"/>
      </c>
      <c r="T773" s="129"/>
      <c r="U773" s="129"/>
      <c r="V773" s="104">
        <f t="shared" si="133"/>
        <v>0</v>
      </c>
    </row>
    <row r="774" spans="2:22" ht="12.75">
      <c r="B774" s="2"/>
      <c r="C774" s="9"/>
      <c r="D774" s="10"/>
      <c r="E774" s="10"/>
      <c r="F774" s="10"/>
      <c r="G774" s="140"/>
      <c r="I774" s="92"/>
      <c r="L774" s="9">
        <v>387</v>
      </c>
      <c r="M774" s="9" t="s">
        <v>29</v>
      </c>
      <c r="N774" s="10">
        <f t="shared" si="134"/>
        <v>0</v>
      </c>
      <c r="O774" s="10">
        <f t="shared" si="135"/>
        <v>0</v>
      </c>
      <c r="P774" s="10">
        <f t="shared" si="136"/>
        <v>0</v>
      </c>
      <c r="Q774" s="11">
        <f t="shared" si="130"/>
        <v>0</v>
      </c>
      <c r="R774" s="9"/>
      <c r="S774" s="92">
        <f aca="true" t="shared" si="137" ref="S774:S831">IF(O774&gt;0,L774,"")</f>
      </c>
      <c r="T774" s="129"/>
      <c r="U774" s="129"/>
      <c r="V774" s="104">
        <f t="shared" si="133"/>
        <v>0</v>
      </c>
    </row>
    <row r="775" spans="2:22" ht="12.75">
      <c r="B775" s="2"/>
      <c r="C775" s="9"/>
      <c r="D775" s="10"/>
      <c r="E775" s="10"/>
      <c r="F775" s="10"/>
      <c r="G775" s="140"/>
      <c r="I775" s="92"/>
      <c r="L775" s="9">
        <v>388</v>
      </c>
      <c r="M775" s="9" t="s">
        <v>30</v>
      </c>
      <c r="N775" s="10">
        <f t="shared" si="134"/>
        <v>0</v>
      </c>
      <c r="O775" s="10">
        <f t="shared" si="135"/>
        <v>0</v>
      </c>
      <c r="P775" s="10">
        <f t="shared" si="136"/>
        <v>0</v>
      </c>
      <c r="Q775" s="11">
        <f aca="true" t="shared" si="138" ref="Q775:Q783">Q774-P775-R775</f>
        <v>0</v>
      </c>
      <c r="R775" s="9"/>
      <c r="S775" s="92">
        <f t="shared" si="137"/>
      </c>
      <c r="T775" s="129"/>
      <c r="U775" s="129"/>
      <c r="V775" s="104">
        <f t="shared" si="133"/>
        <v>0</v>
      </c>
    </row>
    <row r="776" spans="2:22" ht="12.75">
      <c r="B776" s="2"/>
      <c r="C776" s="9"/>
      <c r="D776" s="10"/>
      <c r="E776" s="10"/>
      <c r="F776" s="10"/>
      <c r="G776" s="140"/>
      <c r="I776" s="92"/>
      <c r="L776" s="9">
        <v>389</v>
      </c>
      <c r="M776" s="9" t="s">
        <v>31</v>
      </c>
      <c r="N776" s="10">
        <f t="shared" si="134"/>
        <v>0</v>
      </c>
      <c r="O776" s="10">
        <f t="shared" si="135"/>
        <v>0</v>
      </c>
      <c r="P776" s="10">
        <f t="shared" si="136"/>
        <v>0</v>
      </c>
      <c r="Q776" s="11">
        <f t="shared" si="138"/>
        <v>0</v>
      </c>
      <c r="R776" s="9"/>
      <c r="S776" s="92">
        <f t="shared" si="137"/>
      </c>
      <c r="T776" s="129"/>
      <c r="U776" s="129"/>
      <c r="V776" s="104">
        <f t="shared" si="133"/>
        <v>0</v>
      </c>
    </row>
    <row r="777" spans="2:22" ht="12.75">
      <c r="B777" s="2"/>
      <c r="C777" s="9"/>
      <c r="D777" s="10"/>
      <c r="E777" s="10"/>
      <c r="F777" s="10"/>
      <c r="G777" s="140"/>
      <c r="I777" s="92"/>
      <c r="L777" s="9">
        <v>390</v>
      </c>
      <c r="M777" s="9" t="s">
        <v>32</v>
      </c>
      <c r="N777" s="10">
        <f t="shared" si="134"/>
        <v>0</v>
      </c>
      <c r="O777" s="10">
        <f t="shared" si="135"/>
        <v>0</v>
      </c>
      <c r="P777" s="10">
        <f t="shared" si="136"/>
        <v>0</v>
      </c>
      <c r="Q777" s="11">
        <f t="shared" si="138"/>
        <v>0</v>
      </c>
      <c r="R777" s="9"/>
      <c r="S777" s="92">
        <f t="shared" si="137"/>
      </c>
      <c r="T777" s="129"/>
      <c r="U777" s="129"/>
      <c r="V777" s="104">
        <f t="shared" si="133"/>
        <v>0</v>
      </c>
    </row>
    <row r="778" spans="2:22" ht="12.75">
      <c r="B778" s="2"/>
      <c r="C778" s="9"/>
      <c r="D778" s="10"/>
      <c r="E778" s="10"/>
      <c r="F778" s="10"/>
      <c r="G778" s="140"/>
      <c r="I778" s="92"/>
      <c r="L778" s="9">
        <v>391</v>
      </c>
      <c r="M778" s="9" t="s">
        <v>33</v>
      </c>
      <c r="N778" s="10">
        <f t="shared" si="134"/>
        <v>0</v>
      </c>
      <c r="O778" s="10">
        <f t="shared" si="135"/>
        <v>0</v>
      </c>
      <c r="P778" s="10">
        <f t="shared" si="136"/>
        <v>0</v>
      </c>
      <c r="Q778" s="11">
        <f t="shared" si="138"/>
        <v>0</v>
      </c>
      <c r="R778" s="9"/>
      <c r="S778" s="92">
        <f t="shared" si="137"/>
      </c>
      <c r="T778" s="129"/>
      <c r="U778" s="129"/>
      <c r="V778" s="104">
        <f t="shared" si="133"/>
        <v>0</v>
      </c>
    </row>
    <row r="779" spans="2:22" ht="12.75">
      <c r="B779" s="2"/>
      <c r="C779" s="9"/>
      <c r="D779" s="10"/>
      <c r="E779" s="10"/>
      <c r="F779" s="10"/>
      <c r="G779" s="140"/>
      <c r="I779" s="92"/>
      <c r="L779" s="9">
        <v>392</v>
      </c>
      <c r="M779" s="9" t="s">
        <v>34</v>
      </c>
      <c r="N779" s="10">
        <f t="shared" si="134"/>
        <v>0</v>
      </c>
      <c r="O779" s="10">
        <f t="shared" si="135"/>
        <v>0</v>
      </c>
      <c r="P779" s="10">
        <f t="shared" si="136"/>
        <v>0</v>
      </c>
      <c r="Q779" s="11">
        <f t="shared" si="138"/>
        <v>0</v>
      </c>
      <c r="R779" s="9"/>
      <c r="S779" s="92">
        <f t="shared" si="137"/>
      </c>
      <c r="T779" s="129"/>
      <c r="U779" s="129"/>
      <c r="V779" s="104">
        <f t="shared" si="133"/>
        <v>0</v>
      </c>
    </row>
    <row r="780" spans="2:22" ht="12.75">
      <c r="B780" s="2"/>
      <c r="C780" s="9"/>
      <c r="D780" s="10"/>
      <c r="E780" s="10"/>
      <c r="F780" s="10"/>
      <c r="G780" s="140"/>
      <c r="I780" s="92"/>
      <c r="L780" s="9">
        <v>393</v>
      </c>
      <c r="M780" s="9" t="s">
        <v>35</v>
      </c>
      <c r="N780" s="10">
        <f t="shared" si="134"/>
        <v>0</v>
      </c>
      <c r="O780" s="10">
        <f t="shared" si="135"/>
        <v>0</v>
      </c>
      <c r="P780" s="10">
        <f t="shared" si="136"/>
        <v>0</v>
      </c>
      <c r="Q780" s="11">
        <f t="shared" si="138"/>
        <v>0</v>
      </c>
      <c r="R780" s="9"/>
      <c r="S780" s="92">
        <f t="shared" si="137"/>
      </c>
      <c r="T780" s="129"/>
      <c r="U780" s="129"/>
      <c r="V780" s="104">
        <f t="shared" si="133"/>
        <v>0</v>
      </c>
    </row>
    <row r="781" spans="2:22" ht="12.75">
      <c r="B781" s="2"/>
      <c r="C781" s="9"/>
      <c r="D781" s="10"/>
      <c r="E781" s="10"/>
      <c r="F781" s="10"/>
      <c r="G781" s="140"/>
      <c r="I781" s="92"/>
      <c r="L781" s="9">
        <v>394</v>
      </c>
      <c r="M781" s="9" t="s">
        <v>36</v>
      </c>
      <c r="N781" s="10">
        <f t="shared" si="134"/>
        <v>0</v>
      </c>
      <c r="O781" s="10">
        <f t="shared" si="135"/>
        <v>0</v>
      </c>
      <c r="P781" s="10">
        <f t="shared" si="136"/>
        <v>0</v>
      </c>
      <c r="Q781" s="11">
        <f t="shared" si="138"/>
        <v>0</v>
      </c>
      <c r="R781" s="9"/>
      <c r="S781" s="92">
        <f t="shared" si="137"/>
      </c>
      <c r="T781" s="129"/>
      <c r="U781" s="129"/>
      <c r="V781" s="104">
        <f t="shared" si="133"/>
        <v>0</v>
      </c>
    </row>
    <row r="782" spans="2:22" ht="12.75">
      <c r="B782" s="2"/>
      <c r="C782" s="9"/>
      <c r="D782" s="10"/>
      <c r="E782" s="10"/>
      <c r="F782" s="10"/>
      <c r="G782" s="140"/>
      <c r="I782" s="92"/>
      <c r="L782" s="9">
        <v>395</v>
      </c>
      <c r="M782" s="9" t="s">
        <v>37</v>
      </c>
      <c r="N782" s="10">
        <f t="shared" si="134"/>
        <v>0</v>
      </c>
      <c r="O782" s="10">
        <f t="shared" si="135"/>
        <v>0</v>
      </c>
      <c r="P782" s="10">
        <f t="shared" si="136"/>
        <v>0</v>
      </c>
      <c r="Q782" s="11">
        <f t="shared" si="138"/>
        <v>0</v>
      </c>
      <c r="R782" s="9"/>
      <c r="S782" s="92">
        <f t="shared" si="137"/>
      </c>
      <c r="T782" s="129"/>
      <c r="U782" s="129"/>
      <c r="V782" s="104">
        <f t="shared" si="133"/>
        <v>0</v>
      </c>
    </row>
    <row r="783" spans="2:22" ht="12.75">
      <c r="B783" s="2"/>
      <c r="C783" s="9"/>
      <c r="D783" s="10"/>
      <c r="E783" s="10"/>
      <c r="F783" s="10"/>
      <c r="G783" s="140"/>
      <c r="I783" s="92"/>
      <c r="L783" s="9">
        <v>396</v>
      </c>
      <c r="M783" s="9" t="s">
        <v>38</v>
      </c>
      <c r="N783" s="10">
        <f t="shared" si="134"/>
        <v>0</v>
      </c>
      <c r="O783" s="10">
        <f t="shared" si="135"/>
        <v>0</v>
      </c>
      <c r="P783" s="10">
        <f t="shared" si="136"/>
        <v>0</v>
      </c>
      <c r="Q783" s="11">
        <f t="shared" si="138"/>
        <v>0</v>
      </c>
      <c r="R783" s="9"/>
      <c r="S783" s="92">
        <f t="shared" si="137"/>
      </c>
      <c r="T783" s="129"/>
      <c r="U783" s="129"/>
      <c r="V783" s="104">
        <f t="shared" si="133"/>
        <v>0</v>
      </c>
    </row>
    <row r="784" spans="2:23" ht="12.75">
      <c r="B784" s="2"/>
      <c r="C784" s="9"/>
      <c r="D784" s="10"/>
      <c r="E784" s="10"/>
      <c r="F784" s="10"/>
      <c r="G784" s="140"/>
      <c r="I784" s="92"/>
      <c r="K784">
        <v>33</v>
      </c>
      <c r="L784" s="84">
        <v>397</v>
      </c>
      <c r="M784" s="84" t="s">
        <v>27</v>
      </c>
      <c r="N784" s="85">
        <f t="shared" si="134"/>
        <v>0</v>
      </c>
      <c r="O784" s="85">
        <f t="shared" si="135"/>
        <v>0</v>
      </c>
      <c r="P784" s="85">
        <f aca="true" t="shared" si="139" ref="P784:P814">N784-O784</f>
        <v>0</v>
      </c>
      <c r="Q784" s="86">
        <f aca="true" t="shared" si="140" ref="Q784:Q814">Q783-P784-R784</f>
        <v>0</v>
      </c>
      <c r="R784" s="68">
        <f>IF((Q783-P784)&gt;Energie!S44,Energie!S44,(Q783-P784))</f>
        <v>0</v>
      </c>
      <c r="S784" s="92">
        <f t="shared" si="137"/>
      </c>
      <c r="T784" s="129"/>
      <c r="U784" s="128">
        <f>(SUM(N772:N783)+R784+U772)</f>
        <v>482946.8702407023</v>
      </c>
      <c r="V784" s="104">
        <f t="shared" si="133"/>
        <v>0</v>
      </c>
      <c r="W784" s="104">
        <f>SUM(V772:V783)</f>
        <v>0</v>
      </c>
    </row>
    <row r="785" spans="2:22" ht="12.75">
      <c r="B785" s="2"/>
      <c r="C785" s="9"/>
      <c r="D785" s="10"/>
      <c r="E785" s="10"/>
      <c r="F785" s="10"/>
      <c r="G785" s="140"/>
      <c r="I785" s="92"/>
      <c r="L785" s="9">
        <v>398</v>
      </c>
      <c r="M785" s="9" t="s">
        <v>28</v>
      </c>
      <c r="N785" s="10">
        <f t="shared" si="134"/>
        <v>0</v>
      </c>
      <c r="O785" s="10">
        <f t="shared" si="135"/>
        <v>0</v>
      </c>
      <c r="P785" s="10">
        <f t="shared" si="139"/>
        <v>0</v>
      </c>
      <c r="Q785" s="11">
        <f t="shared" si="140"/>
        <v>0</v>
      </c>
      <c r="R785" s="9"/>
      <c r="S785" s="92">
        <f t="shared" si="137"/>
      </c>
      <c r="T785" s="129"/>
      <c r="U785" s="129"/>
      <c r="V785" s="104">
        <f t="shared" si="133"/>
        <v>0</v>
      </c>
    </row>
    <row r="786" spans="2:22" ht="12.75">
      <c r="B786" s="2"/>
      <c r="C786" s="9"/>
      <c r="D786" s="10"/>
      <c r="E786" s="10"/>
      <c r="F786" s="10"/>
      <c r="G786" s="140"/>
      <c r="I786" s="92"/>
      <c r="L786" s="9">
        <v>399</v>
      </c>
      <c r="M786" s="9" t="s">
        <v>29</v>
      </c>
      <c r="N786" s="10">
        <f t="shared" si="134"/>
        <v>0</v>
      </c>
      <c r="O786" s="10">
        <f t="shared" si="135"/>
        <v>0</v>
      </c>
      <c r="P786" s="10">
        <f t="shared" si="139"/>
        <v>0</v>
      </c>
      <c r="Q786" s="11">
        <f t="shared" si="140"/>
        <v>0</v>
      </c>
      <c r="R786" s="9"/>
      <c r="S786" s="92">
        <f t="shared" si="137"/>
      </c>
      <c r="T786" s="129"/>
      <c r="U786" s="129"/>
      <c r="V786" s="104">
        <f t="shared" si="133"/>
        <v>0</v>
      </c>
    </row>
    <row r="787" spans="2:22" ht="12.75">
      <c r="B787" s="2"/>
      <c r="C787" s="9"/>
      <c r="D787" s="10"/>
      <c r="E787" s="10"/>
      <c r="F787" s="10"/>
      <c r="G787" s="140"/>
      <c r="I787" s="92"/>
      <c r="L787" s="9">
        <v>400</v>
      </c>
      <c r="M787" s="9" t="s">
        <v>30</v>
      </c>
      <c r="N787" s="10">
        <f t="shared" si="134"/>
        <v>0</v>
      </c>
      <c r="O787" s="10">
        <f t="shared" si="135"/>
        <v>0</v>
      </c>
      <c r="P787" s="10">
        <f t="shared" si="139"/>
        <v>0</v>
      </c>
      <c r="Q787" s="11">
        <f t="shared" si="140"/>
        <v>0</v>
      </c>
      <c r="R787" s="9"/>
      <c r="S787" s="92">
        <f t="shared" si="137"/>
      </c>
      <c r="T787" s="129"/>
      <c r="U787" s="129"/>
      <c r="V787" s="104">
        <f t="shared" si="133"/>
        <v>0</v>
      </c>
    </row>
    <row r="788" spans="2:22" ht="12.75">
      <c r="B788" s="2"/>
      <c r="C788" s="9"/>
      <c r="D788" s="10"/>
      <c r="E788" s="10"/>
      <c r="F788" s="10"/>
      <c r="G788" s="140"/>
      <c r="I788" s="92"/>
      <c r="L788" s="9">
        <v>401</v>
      </c>
      <c r="M788" s="9" t="s">
        <v>31</v>
      </c>
      <c r="N788" s="10">
        <f t="shared" si="134"/>
        <v>0</v>
      </c>
      <c r="O788" s="10">
        <f t="shared" si="135"/>
        <v>0</v>
      </c>
      <c r="P788" s="10">
        <f t="shared" si="139"/>
        <v>0</v>
      </c>
      <c r="Q788" s="11">
        <f t="shared" si="140"/>
        <v>0</v>
      </c>
      <c r="R788" s="9"/>
      <c r="S788" s="92">
        <f t="shared" si="137"/>
      </c>
      <c r="T788" s="129"/>
      <c r="U788" s="129"/>
      <c r="V788" s="104">
        <f t="shared" si="133"/>
        <v>0</v>
      </c>
    </row>
    <row r="789" spans="2:22" ht="12.75">
      <c r="B789" s="2"/>
      <c r="C789" s="9"/>
      <c r="D789" s="10"/>
      <c r="E789" s="10"/>
      <c r="F789" s="10"/>
      <c r="G789" s="140"/>
      <c r="I789" s="92"/>
      <c r="L789" s="9">
        <v>402</v>
      </c>
      <c r="M789" s="9" t="s">
        <v>32</v>
      </c>
      <c r="N789" s="10">
        <f t="shared" si="134"/>
        <v>0</v>
      </c>
      <c r="O789" s="10">
        <f t="shared" si="135"/>
        <v>0</v>
      </c>
      <c r="P789" s="10">
        <f t="shared" si="139"/>
        <v>0</v>
      </c>
      <c r="Q789" s="11">
        <f t="shared" si="140"/>
        <v>0</v>
      </c>
      <c r="R789" s="9"/>
      <c r="S789" s="92">
        <f t="shared" si="137"/>
      </c>
      <c r="T789" s="129"/>
      <c r="U789" s="129"/>
      <c r="V789" s="104">
        <f t="shared" si="133"/>
        <v>0</v>
      </c>
    </row>
    <row r="790" spans="2:22" ht="12.75">
      <c r="B790" s="2"/>
      <c r="C790" s="9"/>
      <c r="D790" s="10"/>
      <c r="E790" s="10"/>
      <c r="F790" s="10"/>
      <c r="G790" s="140"/>
      <c r="I790" s="92"/>
      <c r="L790" s="9">
        <v>403</v>
      </c>
      <c r="M790" s="9" t="s">
        <v>33</v>
      </c>
      <c r="N790" s="10">
        <f t="shared" si="134"/>
        <v>0</v>
      </c>
      <c r="O790" s="10">
        <f t="shared" si="135"/>
        <v>0</v>
      </c>
      <c r="P790" s="10">
        <f t="shared" si="139"/>
        <v>0</v>
      </c>
      <c r="Q790" s="11">
        <f t="shared" si="140"/>
        <v>0</v>
      </c>
      <c r="R790" s="9"/>
      <c r="S790" s="92">
        <f t="shared" si="137"/>
      </c>
      <c r="T790" s="129"/>
      <c r="U790" s="129"/>
      <c r="V790" s="104">
        <f t="shared" si="133"/>
        <v>0</v>
      </c>
    </row>
    <row r="791" spans="2:22" ht="12.75">
      <c r="B791" s="2"/>
      <c r="C791" s="9"/>
      <c r="D791" s="10"/>
      <c r="E791" s="10"/>
      <c r="F791" s="10"/>
      <c r="G791" s="140"/>
      <c r="I791" s="92"/>
      <c r="L791" s="9">
        <v>404</v>
      </c>
      <c r="M791" s="9" t="s">
        <v>34</v>
      </c>
      <c r="N791" s="10">
        <f t="shared" si="134"/>
        <v>0</v>
      </c>
      <c r="O791" s="10">
        <f t="shared" si="135"/>
        <v>0</v>
      </c>
      <c r="P791" s="10">
        <f t="shared" si="139"/>
        <v>0</v>
      </c>
      <c r="Q791" s="11">
        <f t="shared" si="140"/>
        <v>0</v>
      </c>
      <c r="R791" s="9"/>
      <c r="S791" s="92">
        <f t="shared" si="137"/>
      </c>
      <c r="T791" s="129"/>
      <c r="U791" s="129"/>
      <c r="V791" s="104">
        <f t="shared" si="133"/>
        <v>0</v>
      </c>
    </row>
    <row r="792" spans="2:22" ht="12.75">
      <c r="B792" s="2"/>
      <c r="C792" s="9"/>
      <c r="D792" s="10"/>
      <c r="E792" s="10"/>
      <c r="F792" s="10"/>
      <c r="G792" s="140"/>
      <c r="I792" s="92"/>
      <c r="L792" s="9">
        <v>405</v>
      </c>
      <c r="M792" s="9" t="s">
        <v>35</v>
      </c>
      <c r="N792" s="10">
        <f t="shared" si="134"/>
        <v>0</v>
      </c>
      <c r="O792" s="10">
        <f t="shared" si="135"/>
        <v>0</v>
      </c>
      <c r="P792" s="10">
        <f t="shared" si="139"/>
        <v>0</v>
      </c>
      <c r="Q792" s="11">
        <f t="shared" si="140"/>
        <v>0</v>
      </c>
      <c r="R792" s="9"/>
      <c r="S792" s="92">
        <f t="shared" si="137"/>
      </c>
      <c r="T792" s="129"/>
      <c r="U792" s="129"/>
      <c r="V792" s="104">
        <f t="shared" si="133"/>
        <v>0</v>
      </c>
    </row>
    <row r="793" spans="2:22" ht="12.75">
      <c r="B793" s="2"/>
      <c r="C793" s="9"/>
      <c r="D793" s="10"/>
      <c r="E793" s="10"/>
      <c r="F793" s="10"/>
      <c r="G793" s="140"/>
      <c r="I793" s="92"/>
      <c r="L793" s="9">
        <v>406</v>
      </c>
      <c r="M793" s="9" t="s">
        <v>36</v>
      </c>
      <c r="N793" s="10">
        <f t="shared" si="134"/>
        <v>0</v>
      </c>
      <c r="O793" s="10">
        <f t="shared" si="135"/>
        <v>0</v>
      </c>
      <c r="P793" s="10">
        <f t="shared" si="139"/>
        <v>0</v>
      </c>
      <c r="Q793" s="11">
        <f t="shared" si="140"/>
        <v>0</v>
      </c>
      <c r="R793" s="9"/>
      <c r="S793" s="92">
        <f t="shared" si="137"/>
      </c>
      <c r="T793" s="129"/>
      <c r="U793" s="129"/>
      <c r="V793" s="104">
        <f t="shared" si="133"/>
        <v>0</v>
      </c>
    </row>
    <row r="794" spans="2:22" ht="12.75">
      <c r="B794" s="2"/>
      <c r="C794" s="9"/>
      <c r="D794" s="10"/>
      <c r="E794" s="10"/>
      <c r="F794" s="10"/>
      <c r="G794" s="140"/>
      <c r="I794" s="92"/>
      <c r="L794" s="9">
        <v>407</v>
      </c>
      <c r="M794" s="9" t="s">
        <v>37</v>
      </c>
      <c r="N794" s="10">
        <f t="shared" si="134"/>
        <v>0</v>
      </c>
      <c r="O794" s="10">
        <f t="shared" si="135"/>
        <v>0</v>
      </c>
      <c r="P794" s="10">
        <f t="shared" si="139"/>
        <v>0</v>
      </c>
      <c r="Q794" s="11">
        <f t="shared" si="140"/>
        <v>0</v>
      </c>
      <c r="R794" s="9"/>
      <c r="S794" s="92">
        <f t="shared" si="137"/>
      </c>
      <c r="T794" s="129"/>
      <c r="U794" s="129"/>
      <c r="V794" s="104">
        <f t="shared" si="133"/>
        <v>0</v>
      </c>
    </row>
    <row r="795" spans="2:22" ht="12.75">
      <c r="B795" s="2"/>
      <c r="C795" s="9"/>
      <c r="D795" s="10"/>
      <c r="E795" s="10"/>
      <c r="F795" s="10"/>
      <c r="G795" s="140"/>
      <c r="I795" s="92"/>
      <c r="L795" s="9">
        <v>408</v>
      </c>
      <c r="M795" s="9" t="s">
        <v>38</v>
      </c>
      <c r="N795" s="10">
        <f t="shared" si="134"/>
        <v>0</v>
      </c>
      <c r="O795" s="10">
        <f t="shared" si="135"/>
        <v>0</v>
      </c>
      <c r="P795" s="10">
        <f t="shared" si="139"/>
        <v>0</v>
      </c>
      <c r="Q795" s="11">
        <f t="shared" si="140"/>
        <v>0</v>
      </c>
      <c r="R795" s="9"/>
      <c r="S795" s="92">
        <f t="shared" si="137"/>
      </c>
      <c r="T795" s="129"/>
      <c r="U795" s="129"/>
      <c r="V795" s="104">
        <f>SUM(D795+N795)</f>
        <v>0</v>
      </c>
    </row>
    <row r="796" spans="2:23" ht="12.75">
      <c r="B796" s="2"/>
      <c r="C796" s="9"/>
      <c r="D796" s="10"/>
      <c r="E796" s="10"/>
      <c r="F796" s="10"/>
      <c r="G796" s="140"/>
      <c r="I796" s="92"/>
      <c r="K796">
        <v>34</v>
      </c>
      <c r="L796" s="84">
        <v>409</v>
      </c>
      <c r="M796" s="84" t="s">
        <v>27</v>
      </c>
      <c r="N796" s="85">
        <f t="shared" si="134"/>
        <v>0</v>
      </c>
      <c r="O796" s="85">
        <f t="shared" si="135"/>
        <v>0</v>
      </c>
      <c r="P796" s="85">
        <f t="shared" si="139"/>
        <v>0</v>
      </c>
      <c r="Q796" s="86">
        <f t="shared" si="140"/>
        <v>0</v>
      </c>
      <c r="R796" s="68">
        <f>IF((Q795-P796)&gt;Energie!S45,Energie!S45,(Q795-P796))</f>
        <v>0</v>
      </c>
      <c r="S796" s="92">
        <f t="shared" si="137"/>
      </c>
      <c r="T796" s="129"/>
      <c r="U796" s="128">
        <f>(SUM(N784:N795)+R796+U784)</f>
        <v>482946.8702407023</v>
      </c>
      <c r="V796" s="104">
        <f t="shared" si="133"/>
        <v>0</v>
      </c>
      <c r="W796" s="104">
        <f>SUM(V784:V795)</f>
        <v>0</v>
      </c>
    </row>
    <row r="797" spans="2:22" ht="12.75">
      <c r="B797" s="2"/>
      <c r="C797" s="9"/>
      <c r="D797" s="10"/>
      <c r="E797" s="10"/>
      <c r="F797" s="10"/>
      <c r="G797" s="140"/>
      <c r="I797" s="92"/>
      <c r="L797" s="9">
        <v>410</v>
      </c>
      <c r="M797" s="9" t="s">
        <v>28</v>
      </c>
      <c r="N797" s="10">
        <f t="shared" si="134"/>
        <v>0</v>
      </c>
      <c r="O797" s="10">
        <f t="shared" si="135"/>
        <v>0</v>
      </c>
      <c r="P797" s="10">
        <f t="shared" si="139"/>
        <v>0</v>
      </c>
      <c r="Q797" s="11">
        <f t="shared" si="140"/>
        <v>0</v>
      </c>
      <c r="R797" s="9"/>
      <c r="S797" s="92">
        <f t="shared" si="137"/>
      </c>
      <c r="T797" s="129"/>
      <c r="U797" s="129"/>
      <c r="V797" s="104">
        <f t="shared" si="133"/>
        <v>0</v>
      </c>
    </row>
    <row r="798" spans="2:22" ht="12.75">
      <c r="B798" s="2"/>
      <c r="C798" s="9"/>
      <c r="D798" s="10"/>
      <c r="E798" s="10"/>
      <c r="F798" s="10"/>
      <c r="G798" s="140"/>
      <c r="I798" s="92"/>
      <c r="L798" s="9">
        <v>411</v>
      </c>
      <c r="M798" s="9" t="s">
        <v>29</v>
      </c>
      <c r="N798" s="10">
        <f t="shared" si="134"/>
        <v>0</v>
      </c>
      <c r="O798" s="10">
        <f t="shared" si="135"/>
        <v>0</v>
      </c>
      <c r="P798" s="10">
        <f t="shared" si="139"/>
        <v>0</v>
      </c>
      <c r="Q798" s="11">
        <f t="shared" si="140"/>
        <v>0</v>
      </c>
      <c r="R798" s="9"/>
      <c r="S798" s="92">
        <f t="shared" si="137"/>
      </c>
      <c r="T798" s="129"/>
      <c r="U798" s="129"/>
      <c r="V798" s="104">
        <f t="shared" si="133"/>
        <v>0</v>
      </c>
    </row>
    <row r="799" spans="2:22" ht="12.75">
      <c r="B799" s="2"/>
      <c r="C799" s="9"/>
      <c r="D799" s="10"/>
      <c r="E799" s="10"/>
      <c r="F799" s="10"/>
      <c r="G799" s="140"/>
      <c r="I799" s="92"/>
      <c r="L799" s="9">
        <v>412</v>
      </c>
      <c r="M799" s="9" t="s">
        <v>30</v>
      </c>
      <c r="N799" s="10">
        <f t="shared" si="134"/>
        <v>0</v>
      </c>
      <c r="O799" s="10">
        <f t="shared" si="135"/>
        <v>0</v>
      </c>
      <c r="P799" s="10">
        <f t="shared" si="139"/>
        <v>0</v>
      </c>
      <c r="Q799" s="11">
        <f t="shared" si="140"/>
        <v>0</v>
      </c>
      <c r="R799" s="9"/>
      <c r="S799" s="92">
        <f t="shared" si="137"/>
      </c>
      <c r="T799" s="129"/>
      <c r="U799" s="129"/>
      <c r="V799" s="104">
        <f t="shared" si="133"/>
        <v>0</v>
      </c>
    </row>
    <row r="800" spans="2:22" ht="12.75">
      <c r="B800" s="2"/>
      <c r="C800" s="9"/>
      <c r="D800" s="10"/>
      <c r="E800" s="10"/>
      <c r="F800" s="10"/>
      <c r="G800" s="140"/>
      <c r="I800" s="92"/>
      <c r="L800" s="9">
        <v>413</v>
      </c>
      <c r="M800" s="9" t="s">
        <v>31</v>
      </c>
      <c r="N800" s="10">
        <f t="shared" si="134"/>
        <v>0</v>
      </c>
      <c r="O800" s="10">
        <f t="shared" si="135"/>
        <v>0</v>
      </c>
      <c r="P800" s="10">
        <f t="shared" si="139"/>
        <v>0</v>
      </c>
      <c r="Q800" s="11">
        <f t="shared" si="140"/>
        <v>0</v>
      </c>
      <c r="R800" s="9"/>
      <c r="S800" s="92">
        <f t="shared" si="137"/>
      </c>
      <c r="T800" s="129"/>
      <c r="U800" s="129"/>
      <c r="V800" s="104">
        <f t="shared" si="133"/>
        <v>0</v>
      </c>
    </row>
    <row r="801" spans="2:22" ht="12.75">
      <c r="B801" s="2"/>
      <c r="C801" s="9"/>
      <c r="D801" s="10"/>
      <c r="E801" s="10"/>
      <c r="F801" s="10"/>
      <c r="G801" s="140"/>
      <c r="I801" s="92"/>
      <c r="L801" s="9">
        <v>414</v>
      </c>
      <c r="M801" s="9" t="s">
        <v>32</v>
      </c>
      <c r="N801" s="10">
        <f t="shared" si="134"/>
        <v>0</v>
      </c>
      <c r="O801" s="10">
        <f t="shared" si="135"/>
        <v>0</v>
      </c>
      <c r="P801" s="10">
        <f t="shared" si="139"/>
        <v>0</v>
      </c>
      <c r="Q801" s="11">
        <f t="shared" si="140"/>
        <v>0</v>
      </c>
      <c r="R801" s="9"/>
      <c r="S801" s="92">
        <f t="shared" si="137"/>
      </c>
      <c r="T801" s="129"/>
      <c r="U801" s="129"/>
      <c r="V801" s="104">
        <f t="shared" si="133"/>
        <v>0</v>
      </c>
    </row>
    <row r="802" spans="2:22" ht="12.75">
      <c r="B802" s="2"/>
      <c r="C802" s="9"/>
      <c r="D802" s="10"/>
      <c r="E802" s="10"/>
      <c r="F802" s="10"/>
      <c r="G802" s="140"/>
      <c r="I802" s="92"/>
      <c r="L802" s="9">
        <v>415</v>
      </c>
      <c r="M802" s="9" t="s">
        <v>33</v>
      </c>
      <c r="N802" s="10">
        <f t="shared" si="134"/>
        <v>0</v>
      </c>
      <c r="O802" s="10">
        <f t="shared" si="135"/>
        <v>0</v>
      </c>
      <c r="P802" s="10">
        <f t="shared" si="139"/>
        <v>0</v>
      </c>
      <c r="Q802" s="11">
        <f t="shared" si="140"/>
        <v>0</v>
      </c>
      <c r="R802" s="9"/>
      <c r="S802" s="92">
        <f t="shared" si="137"/>
      </c>
      <c r="T802" s="129"/>
      <c r="U802" s="129"/>
      <c r="V802" s="104">
        <f t="shared" si="133"/>
        <v>0</v>
      </c>
    </row>
    <row r="803" spans="2:22" ht="12.75">
      <c r="B803" s="2"/>
      <c r="C803" s="9"/>
      <c r="D803" s="10"/>
      <c r="E803" s="10"/>
      <c r="F803" s="10"/>
      <c r="G803" s="140"/>
      <c r="I803" s="92"/>
      <c r="L803" s="9">
        <v>416</v>
      </c>
      <c r="M803" s="9" t="s">
        <v>34</v>
      </c>
      <c r="N803" s="10">
        <f t="shared" si="134"/>
        <v>0</v>
      </c>
      <c r="O803" s="10">
        <f t="shared" si="135"/>
        <v>0</v>
      </c>
      <c r="P803" s="10">
        <f t="shared" si="139"/>
        <v>0</v>
      </c>
      <c r="Q803" s="11">
        <f t="shared" si="140"/>
        <v>0</v>
      </c>
      <c r="R803" s="9"/>
      <c r="S803" s="92">
        <f t="shared" si="137"/>
      </c>
      <c r="T803" s="129"/>
      <c r="U803" s="129"/>
      <c r="V803" s="104">
        <f t="shared" si="133"/>
        <v>0</v>
      </c>
    </row>
    <row r="804" spans="2:22" ht="12.75">
      <c r="B804" s="2"/>
      <c r="C804" s="9"/>
      <c r="D804" s="10"/>
      <c r="E804" s="10"/>
      <c r="F804" s="10"/>
      <c r="G804" s="140"/>
      <c r="I804" s="92"/>
      <c r="L804" s="9">
        <v>417</v>
      </c>
      <c r="M804" s="9" t="s">
        <v>35</v>
      </c>
      <c r="N804" s="10">
        <f>IF(Q803&lt;(N$376+D$376),Q803+O804,(N$376+D$376))</f>
        <v>0</v>
      </c>
      <c r="O804" s="10">
        <f t="shared" si="135"/>
        <v>0</v>
      </c>
      <c r="P804" s="10">
        <f t="shared" si="139"/>
        <v>0</v>
      </c>
      <c r="Q804" s="11">
        <f t="shared" si="140"/>
        <v>0</v>
      </c>
      <c r="R804" s="9"/>
      <c r="S804" s="92">
        <f t="shared" si="137"/>
      </c>
      <c r="T804" s="129"/>
      <c r="U804" s="129"/>
      <c r="V804" s="104">
        <f t="shared" si="133"/>
        <v>0</v>
      </c>
    </row>
    <row r="805" spans="2:22" ht="12.75">
      <c r="B805" s="2"/>
      <c r="C805" s="9"/>
      <c r="D805" s="10"/>
      <c r="E805" s="10"/>
      <c r="F805" s="10"/>
      <c r="G805" s="140"/>
      <c r="I805" s="92"/>
      <c r="L805" s="9">
        <v>418</v>
      </c>
      <c r="M805" s="9" t="s">
        <v>36</v>
      </c>
      <c r="N805" s="10">
        <f aca="true" t="shared" si="141" ref="N805:N831">IF(Q804&lt;(N$376+D$376),Q804+O805,(N$376+D$376))</f>
        <v>0</v>
      </c>
      <c r="O805" s="10">
        <f t="shared" si="135"/>
        <v>0</v>
      </c>
      <c r="P805" s="10">
        <f t="shared" si="139"/>
        <v>0</v>
      </c>
      <c r="Q805" s="11">
        <f t="shared" si="140"/>
        <v>0</v>
      </c>
      <c r="R805" s="9"/>
      <c r="S805" s="92">
        <f t="shared" si="137"/>
      </c>
      <c r="T805" s="129"/>
      <c r="U805" s="129"/>
      <c r="V805" s="104">
        <f t="shared" si="133"/>
        <v>0</v>
      </c>
    </row>
    <row r="806" spans="2:22" ht="12.75">
      <c r="B806" s="2"/>
      <c r="C806" s="9"/>
      <c r="D806" s="10"/>
      <c r="E806" s="10"/>
      <c r="F806" s="10"/>
      <c r="G806" s="140"/>
      <c r="I806" s="92"/>
      <c r="L806" s="9">
        <v>419</v>
      </c>
      <c r="M806" s="9" t="s">
        <v>37</v>
      </c>
      <c r="N806" s="10">
        <f t="shared" si="141"/>
        <v>0</v>
      </c>
      <c r="O806" s="10">
        <f t="shared" si="135"/>
        <v>0</v>
      </c>
      <c r="P806" s="10">
        <f t="shared" si="139"/>
        <v>0</v>
      </c>
      <c r="Q806" s="11">
        <f t="shared" si="140"/>
        <v>0</v>
      </c>
      <c r="R806" s="9"/>
      <c r="S806" s="92">
        <f t="shared" si="137"/>
      </c>
      <c r="T806" s="129"/>
      <c r="U806" s="129"/>
      <c r="V806" s="104">
        <f t="shared" si="133"/>
        <v>0</v>
      </c>
    </row>
    <row r="807" spans="2:22" ht="12.75">
      <c r="B807" s="2"/>
      <c r="C807" s="9"/>
      <c r="D807" s="10"/>
      <c r="E807" s="10"/>
      <c r="F807" s="10"/>
      <c r="G807" s="140"/>
      <c r="I807" s="92"/>
      <c r="L807" s="9">
        <v>420</v>
      </c>
      <c r="M807" s="9" t="s">
        <v>38</v>
      </c>
      <c r="N807" s="10">
        <f t="shared" si="141"/>
        <v>0</v>
      </c>
      <c r="O807" s="10">
        <f t="shared" si="135"/>
        <v>0</v>
      </c>
      <c r="P807" s="10">
        <f t="shared" si="139"/>
        <v>0</v>
      </c>
      <c r="Q807" s="11">
        <f t="shared" si="140"/>
        <v>0</v>
      </c>
      <c r="R807" s="9"/>
      <c r="S807" s="92">
        <f t="shared" si="137"/>
      </c>
      <c r="T807" s="129"/>
      <c r="U807" s="129"/>
      <c r="V807" s="104">
        <f t="shared" si="133"/>
        <v>0</v>
      </c>
    </row>
    <row r="808" spans="2:23" ht="12.75">
      <c r="B808" s="2"/>
      <c r="C808" s="9"/>
      <c r="D808" s="10"/>
      <c r="E808" s="10"/>
      <c r="F808" s="10"/>
      <c r="G808" s="140"/>
      <c r="I808" s="92"/>
      <c r="K808">
        <v>35</v>
      </c>
      <c r="L808" s="84">
        <v>421</v>
      </c>
      <c r="M808" s="84" t="s">
        <v>27</v>
      </c>
      <c r="N808" s="85">
        <f t="shared" si="141"/>
        <v>0</v>
      </c>
      <c r="O808" s="85">
        <f t="shared" si="135"/>
        <v>0</v>
      </c>
      <c r="P808" s="85">
        <f t="shared" si="139"/>
        <v>0</v>
      </c>
      <c r="Q808" s="86">
        <f t="shared" si="140"/>
        <v>0</v>
      </c>
      <c r="R808" s="68">
        <f>IF((Q807-P808)&gt;Energie!S46,Energie!S46,(Q807-P808))</f>
        <v>0</v>
      </c>
      <c r="S808" s="92">
        <f t="shared" si="137"/>
      </c>
      <c r="T808" s="129"/>
      <c r="U808" s="128">
        <f>(SUM(N796:N807)+R808+U796)</f>
        <v>482946.8702407023</v>
      </c>
      <c r="V808" s="104">
        <f t="shared" si="133"/>
        <v>0</v>
      </c>
      <c r="W808" s="104">
        <f>SUM(V796:V807)</f>
        <v>0</v>
      </c>
    </row>
    <row r="809" spans="2:22" ht="12.75">
      <c r="B809" s="2"/>
      <c r="C809" s="9"/>
      <c r="D809" s="10"/>
      <c r="E809" s="10"/>
      <c r="F809" s="10"/>
      <c r="G809" s="140"/>
      <c r="I809" s="92"/>
      <c r="L809" s="9">
        <v>422</v>
      </c>
      <c r="M809" s="9" t="s">
        <v>28</v>
      </c>
      <c r="N809" s="10">
        <f t="shared" si="141"/>
        <v>0</v>
      </c>
      <c r="O809" s="10">
        <f t="shared" si="135"/>
        <v>0</v>
      </c>
      <c r="P809" s="10">
        <f t="shared" si="139"/>
        <v>0</v>
      </c>
      <c r="Q809" s="11">
        <f t="shared" si="140"/>
        <v>0</v>
      </c>
      <c r="R809" s="9"/>
      <c r="S809" s="92">
        <f t="shared" si="137"/>
      </c>
      <c r="T809" s="129"/>
      <c r="U809" s="129"/>
      <c r="V809" s="104">
        <f t="shared" si="133"/>
        <v>0</v>
      </c>
    </row>
    <row r="810" spans="2:22" ht="12.75">
      <c r="B810" s="2"/>
      <c r="C810" s="9"/>
      <c r="D810" s="10"/>
      <c r="E810" s="10"/>
      <c r="F810" s="10"/>
      <c r="G810" s="140"/>
      <c r="I810" s="92"/>
      <c r="L810" s="9">
        <v>423</v>
      </c>
      <c r="M810" s="9" t="s">
        <v>29</v>
      </c>
      <c r="N810" s="10">
        <f t="shared" si="141"/>
        <v>0</v>
      </c>
      <c r="O810" s="10">
        <f t="shared" si="135"/>
        <v>0</v>
      </c>
      <c r="P810" s="10">
        <f t="shared" si="139"/>
        <v>0</v>
      </c>
      <c r="Q810" s="11">
        <f t="shared" si="140"/>
        <v>0</v>
      </c>
      <c r="R810" s="9"/>
      <c r="S810" s="92">
        <f t="shared" si="137"/>
      </c>
      <c r="T810" s="129"/>
      <c r="U810" s="129"/>
      <c r="V810" s="104">
        <f t="shared" si="133"/>
        <v>0</v>
      </c>
    </row>
    <row r="811" spans="2:22" ht="12.75">
      <c r="B811" s="2"/>
      <c r="C811" s="9"/>
      <c r="D811" s="10"/>
      <c r="E811" s="10"/>
      <c r="F811" s="10"/>
      <c r="G811" s="140"/>
      <c r="I811" s="92"/>
      <c r="L811" s="9">
        <v>424</v>
      </c>
      <c r="M811" s="9" t="s">
        <v>30</v>
      </c>
      <c r="N811" s="10">
        <f t="shared" si="141"/>
        <v>0</v>
      </c>
      <c r="O811" s="10">
        <f t="shared" si="135"/>
        <v>0</v>
      </c>
      <c r="P811" s="10">
        <f t="shared" si="139"/>
        <v>0</v>
      </c>
      <c r="Q811" s="11">
        <f t="shared" si="140"/>
        <v>0</v>
      </c>
      <c r="R811" s="9"/>
      <c r="S811" s="92">
        <f t="shared" si="137"/>
      </c>
      <c r="T811" s="129"/>
      <c r="U811" s="129"/>
      <c r="V811" s="104">
        <f t="shared" si="133"/>
        <v>0</v>
      </c>
    </row>
    <row r="812" spans="2:22" ht="12.75">
      <c r="B812" s="2"/>
      <c r="C812" s="9"/>
      <c r="D812" s="10"/>
      <c r="E812" s="10"/>
      <c r="F812" s="10"/>
      <c r="G812" s="140"/>
      <c r="I812" s="92"/>
      <c r="L812" s="9">
        <v>425</v>
      </c>
      <c r="M812" s="9" t="s">
        <v>31</v>
      </c>
      <c r="N812" s="10">
        <f t="shared" si="141"/>
        <v>0</v>
      </c>
      <c r="O812" s="10">
        <f t="shared" si="135"/>
        <v>0</v>
      </c>
      <c r="P812" s="10">
        <f t="shared" si="139"/>
        <v>0</v>
      </c>
      <c r="Q812" s="11">
        <f t="shared" si="140"/>
        <v>0</v>
      </c>
      <c r="R812" s="9"/>
      <c r="S812" s="92">
        <f t="shared" si="137"/>
      </c>
      <c r="T812" s="129"/>
      <c r="U812" s="129"/>
      <c r="V812" s="104">
        <f aca="true" t="shared" si="142" ref="V812:V821">SUM(D812+N812)</f>
        <v>0</v>
      </c>
    </row>
    <row r="813" spans="2:22" ht="12.75">
      <c r="B813" s="2"/>
      <c r="C813" s="9"/>
      <c r="D813" s="10"/>
      <c r="E813" s="10"/>
      <c r="F813" s="10"/>
      <c r="G813" s="140"/>
      <c r="I813" s="92"/>
      <c r="L813" s="9">
        <v>426</v>
      </c>
      <c r="M813" s="9" t="s">
        <v>32</v>
      </c>
      <c r="N813" s="10">
        <f t="shared" si="141"/>
        <v>0</v>
      </c>
      <c r="O813" s="10">
        <f t="shared" si="135"/>
        <v>0</v>
      </c>
      <c r="P813" s="10">
        <f t="shared" si="139"/>
        <v>0</v>
      </c>
      <c r="Q813" s="11">
        <f t="shared" si="140"/>
        <v>0</v>
      </c>
      <c r="R813" s="9"/>
      <c r="S813" s="92">
        <f t="shared" si="137"/>
      </c>
      <c r="T813" s="129"/>
      <c r="U813" s="129"/>
      <c r="V813" s="104">
        <f t="shared" si="142"/>
        <v>0</v>
      </c>
    </row>
    <row r="814" spans="2:22" ht="12.75">
      <c r="B814" s="2"/>
      <c r="C814" s="9"/>
      <c r="D814" s="10"/>
      <c r="E814" s="10"/>
      <c r="F814" s="10"/>
      <c r="G814" s="140"/>
      <c r="I814" s="92"/>
      <c r="L814" s="9">
        <v>427</v>
      </c>
      <c r="M814" s="9" t="s">
        <v>33</v>
      </c>
      <c r="N814" s="10">
        <f t="shared" si="141"/>
        <v>0</v>
      </c>
      <c r="O814" s="10">
        <f t="shared" si="135"/>
        <v>0</v>
      </c>
      <c r="P814" s="10">
        <f t="shared" si="139"/>
        <v>0</v>
      </c>
      <c r="Q814" s="11">
        <f t="shared" si="140"/>
        <v>0</v>
      </c>
      <c r="R814" s="9"/>
      <c r="S814" s="92">
        <f t="shared" si="137"/>
      </c>
      <c r="T814" s="129"/>
      <c r="U814" s="129"/>
      <c r="V814" s="104">
        <f t="shared" si="142"/>
        <v>0</v>
      </c>
    </row>
    <row r="815" spans="2:22" ht="12.75">
      <c r="B815" s="2"/>
      <c r="C815" s="9"/>
      <c r="D815" s="10"/>
      <c r="E815" s="10"/>
      <c r="F815" s="10"/>
      <c r="G815" s="140"/>
      <c r="I815" s="92"/>
      <c r="L815" s="9">
        <v>428</v>
      </c>
      <c r="M815" s="9" t="s">
        <v>34</v>
      </c>
      <c r="N815" s="10">
        <f t="shared" si="141"/>
        <v>0</v>
      </c>
      <c r="O815" s="10">
        <f t="shared" si="135"/>
        <v>0</v>
      </c>
      <c r="P815" s="10">
        <f aca="true" t="shared" si="143" ref="P815:P831">N815-O815</f>
        <v>0</v>
      </c>
      <c r="Q815" s="11">
        <f aca="true" t="shared" si="144" ref="Q815:Q831">Q814-P815-R815</f>
        <v>0</v>
      </c>
      <c r="R815" s="9"/>
      <c r="S815" s="92">
        <f t="shared" si="137"/>
      </c>
      <c r="T815" s="129"/>
      <c r="U815" s="129"/>
      <c r="V815" s="104">
        <f t="shared" si="142"/>
        <v>0</v>
      </c>
    </row>
    <row r="816" spans="2:22" ht="12.75">
      <c r="B816" s="2"/>
      <c r="C816" s="9"/>
      <c r="D816" s="10"/>
      <c r="E816" s="10"/>
      <c r="F816" s="10"/>
      <c r="G816" s="140"/>
      <c r="I816" s="92"/>
      <c r="L816" s="9">
        <v>429</v>
      </c>
      <c r="M816" s="9" t="s">
        <v>35</v>
      </c>
      <c r="N816" s="10">
        <f t="shared" si="141"/>
        <v>0</v>
      </c>
      <c r="O816" s="10">
        <f t="shared" si="135"/>
        <v>0</v>
      </c>
      <c r="P816" s="10">
        <f t="shared" si="143"/>
        <v>0</v>
      </c>
      <c r="Q816" s="11">
        <f t="shared" si="144"/>
        <v>0</v>
      </c>
      <c r="R816" s="9"/>
      <c r="S816" s="92">
        <f t="shared" si="137"/>
      </c>
      <c r="T816" s="129"/>
      <c r="U816" s="129"/>
      <c r="V816" s="104">
        <f t="shared" si="142"/>
        <v>0</v>
      </c>
    </row>
    <row r="817" spans="2:22" ht="12.75">
      <c r="B817" s="2"/>
      <c r="C817" s="9"/>
      <c r="D817" s="10"/>
      <c r="E817" s="10"/>
      <c r="F817" s="10"/>
      <c r="G817" s="140"/>
      <c r="I817" s="92"/>
      <c r="L817" s="9">
        <v>430</v>
      </c>
      <c r="M817" s="9" t="s">
        <v>36</v>
      </c>
      <c r="N817" s="10">
        <f t="shared" si="141"/>
        <v>0</v>
      </c>
      <c r="O817" s="10">
        <f t="shared" si="135"/>
        <v>0</v>
      </c>
      <c r="P817" s="10">
        <f t="shared" si="143"/>
        <v>0</v>
      </c>
      <c r="Q817" s="11">
        <f t="shared" si="144"/>
        <v>0</v>
      </c>
      <c r="R817" s="9"/>
      <c r="S817" s="92">
        <f t="shared" si="137"/>
      </c>
      <c r="T817" s="129"/>
      <c r="U817" s="129"/>
      <c r="V817" s="104">
        <f t="shared" si="142"/>
        <v>0</v>
      </c>
    </row>
    <row r="818" spans="2:22" ht="12.75">
      <c r="B818" s="2"/>
      <c r="C818" s="9"/>
      <c r="D818" s="10"/>
      <c r="E818" s="10"/>
      <c r="F818" s="10"/>
      <c r="G818" s="140"/>
      <c r="I818" s="92"/>
      <c r="L818" s="9">
        <v>431</v>
      </c>
      <c r="M818" s="9" t="s">
        <v>37</v>
      </c>
      <c r="N818" s="10">
        <f t="shared" si="141"/>
        <v>0</v>
      </c>
      <c r="O818" s="10">
        <f t="shared" si="135"/>
        <v>0</v>
      </c>
      <c r="P818" s="10">
        <f t="shared" si="143"/>
        <v>0</v>
      </c>
      <c r="Q818" s="11">
        <f t="shared" si="144"/>
        <v>0</v>
      </c>
      <c r="R818" s="9"/>
      <c r="S818" s="92">
        <f t="shared" si="137"/>
      </c>
      <c r="T818" s="129"/>
      <c r="U818" s="129"/>
      <c r="V818" s="104">
        <f t="shared" si="142"/>
        <v>0</v>
      </c>
    </row>
    <row r="819" spans="2:22" ht="12.75">
      <c r="B819" s="2"/>
      <c r="C819" s="9"/>
      <c r="D819" s="10"/>
      <c r="E819" s="10"/>
      <c r="F819" s="10"/>
      <c r="G819" s="140"/>
      <c r="I819" s="92"/>
      <c r="L819" s="9">
        <v>432</v>
      </c>
      <c r="M819" s="9" t="s">
        <v>38</v>
      </c>
      <c r="N819" s="10">
        <f t="shared" si="141"/>
        <v>0</v>
      </c>
      <c r="O819" s="10">
        <f t="shared" si="135"/>
        <v>0</v>
      </c>
      <c r="P819" s="10">
        <f t="shared" si="143"/>
        <v>0</v>
      </c>
      <c r="Q819" s="11">
        <f t="shared" si="144"/>
        <v>0</v>
      </c>
      <c r="R819" s="9"/>
      <c r="S819" s="92">
        <f t="shared" si="137"/>
      </c>
      <c r="T819" s="129"/>
      <c r="U819" s="129"/>
      <c r="V819" s="104">
        <f t="shared" si="142"/>
        <v>0</v>
      </c>
    </row>
    <row r="820" spans="2:23" ht="12.75">
      <c r="B820" s="2"/>
      <c r="C820" s="9"/>
      <c r="D820" s="10"/>
      <c r="E820" s="10"/>
      <c r="F820" s="10"/>
      <c r="G820" s="140"/>
      <c r="I820" s="92"/>
      <c r="K820">
        <v>36</v>
      </c>
      <c r="L820" s="84">
        <v>433</v>
      </c>
      <c r="M820" s="84" t="s">
        <v>27</v>
      </c>
      <c r="N820" s="85">
        <f t="shared" si="141"/>
        <v>0</v>
      </c>
      <c r="O820" s="85">
        <f t="shared" si="135"/>
        <v>0</v>
      </c>
      <c r="P820" s="85">
        <f t="shared" si="143"/>
        <v>0</v>
      </c>
      <c r="Q820" s="86">
        <f t="shared" si="144"/>
        <v>0</v>
      </c>
      <c r="R820" s="68">
        <f>IF((Q819-P820)&gt;Energie!S47,Energie!S47,(Q819-P820))</f>
        <v>0</v>
      </c>
      <c r="S820" s="92">
        <f t="shared" si="137"/>
      </c>
      <c r="T820" s="129"/>
      <c r="U820" s="128">
        <f>(SUM(N808:N819)+R820+U808)</f>
        <v>482946.8702407023</v>
      </c>
      <c r="V820" s="104">
        <f t="shared" si="142"/>
        <v>0</v>
      </c>
      <c r="W820" s="104">
        <f>SUM(V808:V819)</f>
        <v>0</v>
      </c>
    </row>
    <row r="821" spans="2:22" ht="12.75">
      <c r="B821" s="2"/>
      <c r="C821" s="9"/>
      <c r="D821" s="10"/>
      <c r="E821" s="10"/>
      <c r="F821" s="10"/>
      <c r="G821" s="140"/>
      <c r="I821" s="92"/>
      <c r="L821" s="9">
        <v>396</v>
      </c>
      <c r="M821" s="9" t="s">
        <v>28</v>
      </c>
      <c r="N821" s="10">
        <f t="shared" si="141"/>
        <v>0</v>
      </c>
      <c r="O821" s="10">
        <f t="shared" si="135"/>
        <v>0</v>
      </c>
      <c r="P821" s="10">
        <f t="shared" si="143"/>
        <v>0</v>
      </c>
      <c r="Q821" s="11">
        <f t="shared" si="144"/>
        <v>0</v>
      </c>
      <c r="R821" s="9"/>
      <c r="S821" s="92">
        <f t="shared" si="137"/>
      </c>
      <c r="T821" s="129"/>
      <c r="U821" s="129"/>
      <c r="V821" s="104">
        <f t="shared" si="142"/>
        <v>0</v>
      </c>
    </row>
    <row r="822" spans="2:22" ht="12.75">
      <c r="B822" s="2"/>
      <c r="C822" s="9"/>
      <c r="D822" s="10"/>
      <c r="E822" s="10"/>
      <c r="F822" s="10"/>
      <c r="G822" s="140"/>
      <c r="I822" s="92"/>
      <c r="L822" s="9">
        <v>397</v>
      </c>
      <c r="M822" s="9" t="s">
        <v>29</v>
      </c>
      <c r="N822" s="10">
        <f t="shared" si="141"/>
        <v>0</v>
      </c>
      <c r="O822" s="10">
        <f t="shared" si="135"/>
        <v>0</v>
      </c>
      <c r="P822" s="10">
        <f t="shared" si="143"/>
        <v>0</v>
      </c>
      <c r="Q822" s="11">
        <f t="shared" si="144"/>
        <v>0</v>
      </c>
      <c r="R822" s="9"/>
      <c r="S822" s="92">
        <f t="shared" si="137"/>
      </c>
      <c r="T822" s="129"/>
      <c r="U822" s="129"/>
      <c r="V822" s="104">
        <f>SUM(D822+N822)</f>
        <v>0</v>
      </c>
    </row>
    <row r="823" spans="2:22" ht="12.75">
      <c r="B823" s="2"/>
      <c r="C823" s="9"/>
      <c r="D823" s="10"/>
      <c r="E823" s="10"/>
      <c r="F823" s="10"/>
      <c r="G823" s="140"/>
      <c r="I823" s="92"/>
      <c r="L823" s="9">
        <v>398</v>
      </c>
      <c r="M823" s="9" t="s">
        <v>30</v>
      </c>
      <c r="N823" s="10">
        <f t="shared" si="141"/>
        <v>0</v>
      </c>
      <c r="O823" s="10">
        <f t="shared" si="135"/>
        <v>0</v>
      </c>
      <c r="P823" s="10">
        <f t="shared" si="143"/>
        <v>0</v>
      </c>
      <c r="Q823" s="11">
        <f t="shared" si="144"/>
        <v>0</v>
      </c>
      <c r="R823" s="9"/>
      <c r="S823" s="92">
        <f t="shared" si="137"/>
      </c>
      <c r="T823" s="129"/>
      <c r="U823" s="129"/>
      <c r="V823" s="104">
        <f aca="true" t="shared" si="145" ref="V823:V831">SUM(D823+N823)</f>
        <v>0</v>
      </c>
    </row>
    <row r="824" spans="2:22" ht="12.75">
      <c r="B824" s="2"/>
      <c r="C824" s="9"/>
      <c r="D824" s="10"/>
      <c r="E824" s="10"/>
      <c r="F824" s="10"/>
      <c r="G824" s="140"/>
      <c r="I824" s="92"/>
      <c r="L824" s="9">
        <v>399</v>
      </c>
      <c r="M824" s="9" t="s">
        <v>31</v>
      </c>
      <c r="N824" s="10">
        <f t="shared" si="141"/>
        <v>0</v>
      </c>
      <c r="O824" s="10">
        <f t="shared" si="135"/>
        <v>0</v>
      </c>
      <c r="P824" s="10">
        <f t="shared" si="143"/>
        <v>0</v>
      </c>
      <c r="Q824" s="11">
        <f t="shared" si="144"/>
        <v>0</v>
      </c>
      <c r="R824" s="9"/>
      <c r="S824" s="92">
        <f t="shared" si="137"/>
      </c>
      <c r="T824" s="129"/>
      <c r="U824" s="129"/>
      <c r="V824" s="104">
        <f t="shared" si="145"/>
        <v>0</v>
      </c>
    </row>
    <row r="825" spans="2:22" ht="12.75">
      <c r="B825" s="2"/>
      <c r="C825" s="9"/>
      <c r="D825" s="10"/>
      <c r="E825" s="10"/>
      <c r="F825" s="10"/>
      <c r="G825" s="140"/>
      <c r="I825" s="92"/>
      <c r="L825" s="9">
        <v>400</v>
      </c>
      <c r="M825" s="9" t="s">
        <v>32</v>
      </c>
      <c r="N825" s="10">
        <f t="shared" si="141"/>
        <v>0</v>
      </c>
      <c r="O825" s="10">
        <f t="shared" si="135"/>
        <v>0</v>
      </c>
      <c r="P825" s="10">
        <f t="shared" si="143"/>
        <v>0</v>
      </c>
      <c r="Q825" s="11">
        <f t="shared" si="144"/>
        <v>0</v>
      </c>
      <c r="R825" s="9"/>
      <c r="S825" s="92">
        <f t="shared" si="137"/>
      </c>
      <c r="T825" s="129"/>
      <c r="U825" s="129"/>
      <c r="V825" s="104">
        <f t="shared" si="145"/>
        <v>0</v>
      </c>
    </row>
    <row r="826" spans="2:22" ht="12.75">
      <c r="B826" s="2"/>
      <c r="C826" s="9"/>
      <c r="D826" s="10"/>
      <c r="E826" s="10"/>
      <c r="F826" s="10"/>
      <c r="G826" s="140"/>
      <c r="I826" s="92"/>
      <c r="L826" s="9">
        <v>401</v>
      </c>
      <c r="M826" s="9" t="s">
        <v>33</v>
      </c>
      <c r="N826" s="10">
        <f t="shared" si="141"/>
        <v>0</v>
      </c>
      <c r="O826" s="10">
        <f t="shared" si="135"/>
        <v>0</v>
      </c>
      <c r="P826" s="10">
        <f t="shared" si="143"/>
        <v>0</v>
      </c>
      <c r="Q826" s="11">
        <f t="shared" si="144"/>
        <v>0</v>
      </c>
      <c r="R826" s="9"/>
      <c r="S826" s="92">
        <f t="shared" si="137"/>
      </c>
      <c r="T826" s="129"/>
      <c r="U826" s="129"/>
      <c r="V826" s="104">
        <f t="shared" si="145"/>
        <v>0</v>
      </c>
    </row>
    <row r="827" spans="2:22" ht="12.75">
      <c r="B827" s="2"/>
      <c r="C827" s="9"/>
      <c r="D827" s="10"/>
      <c r="E827" s="10"/>
      <c r="F827" s="10"/>
      <c r="G827" s="140"/>
      <c r="I827" s="92"/>
      <c r="L827" s="9">
        <v>402</v>
      </c>
      <c r="M827" s="9" t="s">
        <v>34</v>
      </c>
      <c r="N827" s="10">
        <f t="shared" si="141"/>
        <v>0</v>
      </c>
      <c r="O827" s="10">
        <f t="shared" si="135"/>
        <v>0</v>
      </c>
      <c r="P827" s="10">
        <f t="shared" si="143"/>
        <v>0</v>
      </c>
      <c r="Q827" s="11">
        <f t="shared" si="144"/>
        <v>0</v>
      </c>
      <c r="R827" s="9"/>
      <c r="S827" s="92">
        <f t="shared" si="137"/>
      </c>
      <c r="T827" s="129"/>
      <c r="U827" s="129"/>
      <c r="V827" s="104">
        <f t="shared" si="145"/>
        <v>0</v>
      </c>
    </row>
    <row r="828" spans="2:22" ht="12.75">
      <c r="B828" s="2"/>
      <c r="C828" s="9"/>
      <c r="D828" s="10"/>
      <c r="E828" s="10"/>
      <c r="F828" s="10"/>
      <c r="G828" s="140"/>
      <c r="I828" s="92"/>
      <c r="L828" s="9">
        <v>403</v>
      </c>
      <c r="M828" s="9" t="s">
        <v>35</v>
      </c>
      <c r="N828" s="10">
        <f t="shared" si="141"/>
        <v>0</v>
      </c>
      <c r="O828" s="10">
        <f t="shared" si="135"/>
        <v>0</v>
      </c>
      <c r="P828" s="10">
        <f t="shared" si="143"/>
        <v>0</v>
      </c>
      <c r="Q828" s="11">
        <f t="shared" si="144"/>
        <v>0</v>
      </c>
      <c r="R828" s="9"/>
      <c r="S828" s="92">
        <f t="shared" si="137"/>
      </c>
      <c r="T828" s="129"/>
      <c r="U828" s="129"/>
      <c r="V828" s="104">
        <f t="shared" si="145"/>
        <v>0</v>
      </c>
    </row>
    <row r="829" spans="2:22" ht="12.75">
      <c r="B829" s="2"/>
      <c r="C829" s="9"/>
      <c r="D829" s="10"/>
      <c r="E829" s="10"/>
      <c r="F829" s="10"/>
      <c r="G829" s="140"/>
      <c r="I829" s="92"/>
      <c r="L829" s="9">
        <v>404</v>
      </c>
      <c r="M829" s="9" t="s">
        <v>36</v>
      </c>
      <c r="N829" s="10">
        <f t="shared" si="141"/>
        <v>0</v>
      </c>
      <c r="O829" s="10">
        <f t="shared" si="135"/>
        <v>0</v>
      </c>
      <c r="P829" s="10">
        <f t="shared" si="143"/>
        <v>0</v>
      </c>
      <c r="Q829" s="11">
        <f t="shared" si="144"/>
        <v>0</v>
      </c>
      <c r="R829" s="9"/>
      <c r="S829" s="92">
        <f t="shared" si="137"/>
      </c>
      <c r="T829" s="129"/>
      <c r="U829" s="129"/>
      <c r="V829" s="104">
        <f t="shared" si="145"/>
        <v>0</v>
      </c>
    </row>
    <row r="830" spans="2:22" ht="12.75">
      <c r="B830" s="2"/>
      <c r="C830" s="9"/>
      <c r="D830" s="10"/>
      <c r="E830" s="10"/>
      <c r="F830" s="10"/>
      <c r="G830" s="140"/>
      <c r="I830" s="92"/>
      <c r="L830" s="9">
        <v>405</v>
      </c>
      <c r="M830" s="9" t="s">
        <v>37</v>
      </c>
      <c r="N830" s="10">
        <f t="shared" si="141"/>
        <v>0</v>
      </c>
      <c r="O830" s="10">
        <f t="shared" si="135"/>
        <v>0</v>
      </c>
      <c r="P830" s="10">
        <f t="shared" si="143"/>
        <v>0</v>
      </c>
      <c r="Q830" s="11">
        <f t="shared" si="144"/>
        <v>0</v>
      </c>
      <c r="R830" s="9"/>
      <c r="S830" s="92">
        <f t="shared" si="137"/>
      </c>
      <c r="T830" s="129"/>
      <c r="U830" s="129"/>
      <c r="V830" s="104">
        <f t="shared" si="145"/>
        <v>0</v>
      </c>
    </row>
    <row r="831" spans="2:22" ht="12.75">
      <c r="B831" s="2"/>
      <c r="C831" s="9"/>
      <c r="D831" s="10"/>
      <c r="E831" s="10"/>
      <c r="F831" s="10"/>
      <c r="G831" s="140"/>
      <c r="I831" s="92"/>
      <c r="L831" s="9">
        <v>406</v>
      </c>
      <c r="M831" s="9" t="s">
        <v>38</v>
      </c>
      <c r="N831" s="10">
        <f t="shared" si="141"/>
        <v>0</v>
      </c>
      <c r="O831" s="10">
        <f t="shared" si="135"/>
        <v>0</v>
      </c>
      <c r="P831" s="10">
        <f t="shared" si="143"/>
        <v>0</v>
      </c>
      <c r="Q831" s="11">
        <f t="shared" si="144"/>
        <v>0</v>
      </c>
      <c r="R831" s="9"/>
      <c r="S831" s="92">
        <f t="shared" si="137"/>
      </c>
      <c r="T831" s="129"/>
      <c r="U831" s="129"/>
      <c r="V831" s="104">
        <f t="shared" si="145"/>
        <v>0</v>
      </c>
    </row>
    <row r="832" spans="3:23" ht="12.75">
      <c r="C832" s="102" t="s">
        <v>81</v>
      </c>
      <c r="D832" s="10">
        <f>SUM(D502)</f>
        <v>53859.30898371477</v>
      </c>
      <c r="E832" s="10">
        <f>SUM(E502)</f>
        <v>5048.128745582707</v>
      </c>
      <c r="F832" s="10">
        <f>SUM(F502)</f>
        <v>48811.18023813195</v>
      </c>
      <c r="H832" s="10">
        <f>SUM(H502)</f>
        <v>10000</v>
      </c>
      <c r="J832" s="128">
        <f>(SUM(D736:D747)+J736)</f>
        <v>53859.308983714676</v>
      </c>
      <c r="K832">
        <v>30</v>
      </c>
      <c r="M832" s="102" t="s">
        <v>81</v>
      </c>
      <c r="N832" s="10">
        <f>SUM(N382:N831)</f>
        <v>465126.57251395093</v>
      </c>
      <c r="O832" s="10">
        <f>SUM(O382:O831)</f>
        <v>102570.55047883428</v>
      </c>
      <c r="P832" s="10">
        <f>SUM(P382:P831)</f>
        <v>362556.02203511493</v>
      </c>
      <c r="R832" s="10">
        <f>SUM(R382:R831)</f>
        <v>17820.297726753164</v>
      </c>
      <c r="T832" s="128"/>
      <c r="U832" s="128">
        <f>(SUM(N820:N831)+U820)</f>
        <v>482946.8702407023</v>
      </c>
      <c r="W832" s="104">
        <f>SUM(V820:V831)</f>
        <v>0</v>
      </c>
    </row>
    <row r="833" spans="17:21" ht="12.75">
      <c r="Q833" s="6"/>
      <c r="T833" s="128"/>
      <c r="U833" s="128"/>
    </row>
    <row r="835" spans="10:21" ht="12.75">
      <c r="J835" s="128"/>
      <c r="Q835" s="70"/>
      <c r="R835" s="6"/>
      <c r="T835" s="128"/>
      <c r="U835" s="128"/>
    </row>
    <row r="836" spans="20:21" ht="12.75">
      <c r="T836" s="128"/>
      <c r="U836" s="128"/>
    </row>
    <row r="837" spans="20:21" ht="12.75">
      <c r="T837" s="128"/>
      <c r="U837" s="128"/>
    </row>
    <row r="839" ht="12.75">
      <c r="O839" s="6"/>
    </row>
  </sheetData>
  <sheetProtection password="A388" sheet="1" objects="1" scenarios="1" selectLockedCells="1" selectUnlockedCells="1"/>
  <mergeCells count="6">
    <mergeCell ref="B375:C375"/>
    <mergeCell ref="B376:C376"/>
    <mergeCell ref="B2:H2"/>
    <mergeCell ref="L2:Q2"/>
    <mergeCell ref="B373:H373"/>
    <mergeCell ref="L373:R373"/>
  </mergeCells>
  <printOptions/>
  <pageMargins left="0.67" right="0.61" top="0.62" bottom="0.74" header="0.4921259845" footer="0.41"/>
  <pageSetup horizontalDpi="600" verticalDpi="600" orientation="portrait" paperSize="9" scale="95" r:id="rId1"/>
  <headerFooter alignWithMargins="0">
    <oddFooter>&amp;C&amp;9Architekt Ambrosius . Am Gretchenweg 6 . 24404 Maasholm . Tel.: 04246 / 969220 . info@Architekt-A.de . www.Archtekt-A.de
&amp;R&amp;9Kostenvergleich/&amp;A &amp;D Seite &amp;P</oddFooter>
  </headerFooter>
  <rowBreaks count="1" manualBreakCount="1">
    <brk id="371" max="255" man="1"/>
  </rowBreaks>
</worksheet>
</file>

<file path=xl/worksheets/sheet6.xml><?xml version="1.0" encoding="utf-8"?>
<worksheet xmlns="http://schemas.openxmlformats.org/spreadsheetml/2006/main" xmlns:r="http://schemas.openxmlformats.org/officeDocument/2006/relationships">
  <dimension ref="B2:S63"/>
  <sheetViews>
    <sheetView showGridLines="0" showRowColHeaders="0" zoomScalePageLayoutView="85" workbookViewId="0" topLeftCell="A1">
      <selection activeCell="I12" sqref="I12"/>
    </sheetView>
  </sheetViews>
  <sheetFormatPr defaultColWidth="11.421875" defaultRowHeight="12.75"/>
  <cols>
    <col min="1" max="1" width="7.140625" style="0" customWidth="1"/>
    <col min="2" max="2" width="6.28125" style="0" customWidth="1"/>
    <col min="3" max="5" width="13.28125" style="0" customWidth="1"/>
    <col min="6" max="6" width="12.421875" style="0" customWidth="1"/>
    <col min="8" max="8" width="11.57421875" style="0" hidden="1" customWidth="1"/>
    <col min="10" max="10" width="7.140625" style="0" customWidth="1"/>
    <col min="11" max="11" width="6.28125" style="0" customWidth="1"/>
    <col min="12" max="14" width="13.28125" style="0" customWidth="1"/>
    <col min="15" max="15" width="12.421875" style="0" customWidth="1"/>
    <col min="17" max="17" width="11.57421875" style="0" hidden="1" customWidth="1"/>
    <col min="18" max="18" width="4.421875" style="0" hidden="1" customWidth="1"/>
    <col min="19" max="19" width="0" style="0" hidden="1" customWidth="1"/>
  </cols>
  <sheetData>
    <row r="2" spans="2:16" ht="15.75">
      <c r="B2" s="613" t="s">
        <v>112</v>
      </c>
      <c r="C2" s="614"/>
      <c r="D2" s="614"/>
      <c r="E2" s="614"/>
      <c r="F2" s="614"/>
      <c r="G2" s="615"/>
      <c r="K2" s="620" t="s">
        <v>222</v>
      </c>
      <c r="L2" s="614"/>
      <c r="M2" s="614"/>
      <c r="N2" s="614"/>
      <c r="O2" s="614"/>
      <c r="P2" s="615"/>
    </row>
    <row r="3" spans="11:16" ht="12.75">
      <c r="K3" s="621" t="s">
        <v>220</v>
      </c>
      <c r="L3" s="621"/>
      <c r="M3" s="621"/>
      <c r="N3" s="621"/>
      <c r="O3" s="621"/>
      <c r="P3" s="621"/>
    </row>
    <row r="4" spans="11:16" ht="6" customHeight="1">
      <c r="K4" s="108"/>
      <c r="L4" s="108"/>
      <c r="M4" s="108"/>
      <c r="N4" s="108"/>
      <c r="O4" s="108"/>
      <c r="P4" s="108"/>
    </row>
    <row r="5" spans="3:14" ht="12.75">
      <c r="C5" s="1" t="s">
        <v>65</v>
      </c>
      <c r="D5" s="1"/>
      <c r="E5" s="386">
        <f>Detailergebnis!J12</f>
        <v>0.05</v>
      </c>
      <c r="L5" s="1" t="s">
        <v>65</v>
      </c>
      <c r="M5" s="1"/>
      <c r="N5" s="386">
        <f>'Lüftung Heizung Warmwasser'!W23</f>
        <v>0.015</v>
      </c>
    </row>
    <row r="7" spans="2:19" ht="12.75" customHeight="1">
      <c r="B7" s="246" t="s">
        <v>61</v>
      </c>
      <c r="C7" s="246" t="s">
        <v>59</v>
      </c>
      <c r="D7" s="246" t="s">
        <v>60</v>
      </c>
      <c r="E7" s="246" t="s">
        <v>0</v>
      </c>
      <c r="F7" s="616" t="s">
        <v>64</v>
      </c>
      <c r="G7" s="617"/>
      <c r="K7" s="246" t="s">
        <v>61</v>
      </c>
      <c r="L7" s="246" t="s">
        <v>59</v>
      </c>
      <c r="M7" s="246" t="s">
        <v>60</v>
      </c>
      <c r="N7" s="246" t="s">
        <v>0</v>
      </c>
      <c r="O7" s="616" t="s">
        <v>64</v>
      </c>
      <c r="P7" s="617"/>
      <c r="S7" t="s">
        <v>247</v>
      </c>
    </row>
    <row r="8" spans="2:16" ht="4.5" customHeight="1">
      <c r="B8" s="247"/>
      <c r="C8" s="247"/>
      <c r="D8" s="247"/>
      <c r="E8" s="247"/>
      <c r="F8" s="618"/>
      <c r="G8" s="619"/>
      <c r="K8" s="247"/>
      <c r="L8" s="247"/>
      <c r="M8" s="247"/>
      <c r="N8" s="247"/>
      <c r="O8" s="618"/>
      <c r="P8" s="619"/>
    </row>
    <row r="9" spans="2:19" ht="12.75">
      <c r="B9" s="84">
        <v>1</v>
      </c>
      <c r="C9" s="11">
        <f>'Lüftung Heizung Warmwasser'!J21</f>
        <v>882.9085</v>
      </c>
      <c r="D9" s="62">
        <f>'Lüftung Heizung Warmwasser'!Z21</f>
        <v>298.52082352941176</v>
      </c>
      <c r="E9" s="62">
        <f>C9-D9</f>
        <v>584.3876764705883</v>
      </c>
      <c r="F9" s="293"/>
      <c r="G9" s="294"/>
      <c r="H9" s="66">
        <v>1</v>
      </c>
      <c r="K9" s="84">
        <v>1</v>
      </c>
      <c r="L9" s="11">
        <f>'Lüftung Heizung Warmwasser'!J23</f>
        <v>100</v>
      </c>
      <c r="M9" s="62">
        <f>'Lüftung Heizung Warmwasser'!Z23</f>
        <v>165</v>
      </c>
      <c r="N9" s="62">
        <f>L9-M9</f>
        <v>-65</v>
      </c>
      <c r="O9" s="293"/>
      <c r="P9" s="294"/>
      <c r="Q9" s="66">
        <v>1</v>
      </c>
      <c r="S9" s="443">
        <f>E9+N9</f>
        <v>519.3876764705883</v>
      </c>
    </row>
    <row r="10" spans="2:19" ht="12.75">
      <c r="B10" s="84">
        <v>2</v>
      </c>
      <c r="C10" s="62">
        <f aca="true" t="shared" si="0" ref="C10:C18">C9+C9*E$5</f>
        <v>927.053925</v>
      </c>
      <c r="D10" s="62">
        <f aca="true" t="shared" si="1" ref="D10:D18">D9+D9*E$5</f>
        <v>313.4468647058823</v>
      </c>
      <c r="E10" s="62">
        <f>C10-D10</f>
        <v>613.6070602941177</v>
      </c>
      <c r="F10" s="3"/>
      <c r="G10" s="106"/>
      <c r="H10" s="65">
        <f aca="true" t="shared" si="2" ref="H10:H18">H9+H9*E$5</f>
        <v>1.05</v>
      </c>
      <c r="I10" s="3"/>
      <c r="K10" s="84">
        <v>2</v>
      </c>
      <c r="L10" s="62">
        <f aca="true" t="shared" si="3" ref="L10:L18">L9+L9*N$5</f>
        <v>101.5</v>
      </c>
      <c r="M10" s="62">
        <f aca="true" t="shared" si="4" ref="M10:M18">M9+M9*N$5</f>
        <v>167.475</v>
      </c>
      <c r="N10" s="62">
        <f>L10-M10</f>
        <v>-65.975</v>
      </c>
      <c r="O10" s="3"/>
      <c r="P10" s="106"/>
      <c r="Q10" s="65">
        <f aca="true" t="shared" si="5" ref="Q10:Q18">Q9+Q9*N$5</f>
        <v>1.015</v>
      </c>
      <c r="S10" s="443">
        <f aca="true" t="shared" si="6" ref="S10:S63">E10+N10</f>
        <v>547.6320602941177</v>
      </c>
    </row>
    <row r="11" spans="2:19" ht="12.75">
      <c r="B11" s="84">
        <v>3</v>
      </c>
      <c r="C11" s="62">
        <f t="shared" si="0"/>
        <v>973.4066212500001</v>
      </c>
      <c r="D11" s="62">
        <f t="shared" si="1"/>
        <v>329.11920794117646</v>
      </c>
      <c r="E11" s="62">
        <f aca="true" t="shared" si="7" ref="E11:E31">C11-D11</f>
        <v>644.2874133088236</v>
      </c>
      <c r="F11" s="3"/>
      <c r="G11" s="106"/>
      <c r="H11" s="65">
        <f t="shared" si="2"/>
        <v>1.1025</v>
      </c>
      <c r="I11" s="3"/>
      <c r="K11" s="84">
        <v>3</v>
      </c>
      <c r="L11" s="62">
        <f t="shared" si="3"/>
        <v>103.0225</v>
      </c>
      <c r="M11" s="62">
        <f t="shared" si="4"/>
        <v>169.987125</v>
      </c>
      <c r="N11" s="62">
        <f aca="true" t="shared" si="8" ref="N11:N29">L11-M11</f>
        <v>-66.964625</v>
      </c>
      <c r="O11" s="3"/>
      <c r="P11" s="106"/>
      <c r="Q11" s="65">
        <f t="shared" si="5"/>
        <v>1.030225</v>
      </c>
      <c r="S11" s="443">
        <f t="shared" si="6"/>
        <v>577.3227883088236</v>
      </c>
    </row>
    <row r="12" spans="2:19" ht="12.75">
      <c r="B12" s="84">
        <v>4</v>
      </c>
      <c r="C12" s="62">
        <f t="shared" si="0"/>
        <v>1022.0769523125001</v>
      </c>
      <c r="D12" s="62">
        <f t="shared" si="1"/>
        <v>345.5751683382353</v>
      </c>
      <c r="E12" s="62">
        <f t="shared" si="7"/>
        <v>676.5017839742648</v>
      </c>
      <c r="F12" s="3"/>
      <c r="G12" s="106"/>
      <c r="H12" s="65">
        <f t="shared" si="2"/>
        <v>1.1576250000000001</v>
      </c>
      <c r="I12" s="3"/>
      <c r="K12" s="84">
        <v>4</v>
      </c>
      <c r="L12" s="62">
        <f t="shared" si="3"/>
        <v>104.5678375</v>
      </c>
      <c r="M12" s="62">
        <f t="shared" si="4"/>
        <v>172.536931875</v>
      </c>
      <c r="N12" s="62">
        <f t="shared" si="8"/>
        <v>-67.969094375</v>
      </c>
      <c r="O12" s="3"/>
      <c r="P12" s="106"/>
      <c r="Q12" s="65">
        <f t="shared" si="5"/>
        <v>1.045678375</v>
      </c>
      <c r="S12" s="443">
        <f t="shared" si="6"/>
        <v>608.5326895992648</v>
      </c>
    </row>
    <row r="13" spans="2:19" ht="12.75">
      <c r="B13" s="84">
        <v>5</v>
      </c>
      <c r="C13" s="62">
        <f t="shared" si="0"/>
        <v>1073.1807999281252</v>
      </c>
      <c r="D13" s="62">
        <f t="shared" si="1"/>
        <v>362.8539267551471</v>
      </c>
      <c r="E13" s="62">
        <f t="shared" si="7"/>
        <v>710.3268731729781</v>
      </c>
      <c r="F13" s="3"/>
      <c r="G13" s="106"/>
      <c r="H13" s="65">
        <f t="shared" si="2"/>
        <v>1.2155062500000002</v>
      </c>
      <c r="I13" s="3"/>
      <c r="K13" s="84">
        <v>5</v>
      </c>
      <c r="L13" s="62">
        <f t="shared" si="3"/>
        <v>106.1363550625</v>
      </c>
      <c r="M13" s="62">
        <f t="shared" si="4"/>
        <v>175.124985853125</v>
      </c>
      <c r="N13" s="62">
        <f t="shared" si="8"/>
        <v>-68.988630790625</v>
      </c>
      <c r="O13" s="3"/>
      <c r="P13" s="106"/>
      <c r="Q13" s="65">
        <f t="shared" si="5"/>
        <v>1.061363550625</v>
      </c>
      <c r="S13" s="443">
        <f t="shared" si="6"/>
        <v>641.3382423823532</v>
      </c>
    </row>
    <row r="14" spans="2:19" ht="12.75">
      <c r="B14" s="84">
        <v>6</v>
      </c>
      <c r="C14" s="62">
        <f t="shared" si="0"/>
        <v>1126.8398399245316</v>
      </c>
      <c r="D14" s="62">
        <f t="shared" si="1"/>
        <v>380.99662309290443</v>
      </c>
      <c r="E14" s="62">
        <f t="shared" si="7"/>
        <v>745.8432168316272</v>
      </c>
      <c r="F14" s="3"/>
      <c r="G14" s="106"/>
      <c r="H14" s="65">
        <f t="shared" si="2"/>
        <v>1.2762815625000004</v>
      </c>
      <c r="I14" s="3"/>
      <c r="K14" s="84">
        <v>6</v>
      </c>
      <c r="L14" s="62">
        <f t="shared" si="3"/>
        <v>107.7284003884375</v>
      </c>
      <c r="M14" s="62">
        <f t="shared" si="4"/>
        <v>177.75186064092188</v>
      </c>
      <c r="N14" s="62">
        <f t="shared" si="8"/>
        <v>-70.02346025248437</v>
      </c>
      <c r="O14" s="3"/>
      <c r="P14" s="106"/>
      <c r="Q14" s="65">
        <f t="shared" si="5"/>
        <v>1.0772840038843752</v>
      </c>
      <c r="S14" s="443">
        <f t="shared" si="6"/>
        <v>675.8197565791428</v>
      </c>
    </row>
    <row r="15" spans="2:19" ht="12.75">
      <c r="B15" s="84">
        <v>7</v>
      </c>
      <c r="C15" s="62">
        <f t="shared" si="0"/>
        <v>1183.1818319207582</v>
      </c>
      <c r="D15" s="62">
        <f t="shared" si="1"/>
        <v>400.04645424754966</v>
      </c>
      <c r="E15" s="62">
        <f t="shared" si="7"/>
        <v>783.1353776732085</v>
      </c>
      <c r="F15" s="3"/>
      <c r="G15" s="106"/>
      <c r="H15" s="65">
        <f t="shared" si="2"/>
        <v>1.3400956406250004</v>
      </c>
      <c r="I15" s="3"/>
      <c r="K15" s="84">
        <v>7</v>
      </c>
      <c r="L15" s="62">
        <f t="shared" si="3"/>
        <v>109.34432639426407</v>
      </c>
      <c r="M15" s="62">
        <f t="shared" si="4"/>
        <v>180.4181385505357</v>
      </c>
      <c r="N15" s="62">
        <f t="shared" si="8"/>
        <v>-71.07381215627163</v>
      </c>
      <c r="O15" s="3"/>
      <c r="P15" s="106"/>
      <c r="Q15" s="65">
        <f t="shared" si="5"/>
        <v>1.0934432639426408</v>
      </c>
      <c r="S15" s="443">
        <f t="shared" si="6"/>
        <v>712.0615655169369</v>
      </c>
    </row>
    <row r="16" spans="2:19" ht="12.75">
      <c r="B16" s="84">
        <v>8</v>
      </c>
      <c r="C16" s="62">
        <f t="shared" si="0"/>
        <v>1242.340923516796</v>
      </c>
      <c r="D16" s="62">
        <f t="shared" si="1"/>
        <v>420.0487769599271</v>
      </c>
      <c r="E16" s="62">
        <f t="shared" si="7"/>
        <v>822.2921465568688</v>
      </c>
      <c r="F16" s="3"/>
      <c r="G16" s="106"/>
      <c r="H16" s="65">
        <f t="shared" si="2"/>
        <v>1.4071004226562505</v>
      </c>
      <c r="I16" s="3"/>
      <c r="K16" s="84">
        <v>8</v>
      </c>
      <c r="L16" s="62">
        <f t="shared" si="3"/>
        <v>110.98449129017803</v>
      </c>
      <c r="M16" s="62">
        <f t="shared" si="4"/>
        <v>183.12441062879373</v>
      </c>
      <c r="N16" s="62">
        <f t="shared" si="8"/>
        <v>-72.1399193386157</v>
      </c>
      <c r="O16" s="3"/>
      <c r="P16" s="106"/>
      <c r="Q16" s="65">
        <f t="shared" si="5"/>
        <v>1.1098449129017804</v>
      </c>
      <c r="S16" s="443">
        <f t="shared" si="6"/>
        <v>750.1522272182531</v>
      </c>
    </row>
    <row r="17" spans="2:19" ht="12.75">
      <c r="B17" s="84">
        <v>9</v>
      </c>
      <c r="C17" s="62">
        <f t="shared" si="0"/>
        <v>1304.4579696926357</v>
      </c>
      <c r="D17" s="62">
        <f t="shared" si="1"/>
        <v>441.0512158079235</v>
      </c>
      <c r="E17" s="62">
        <f t="shared" si="7"/>
        <v>863.4067538847123</v>
      </c>
      <c r="F17" s="3"/>
      <c r="G17" s="106"/>
      <c r="H17" s="65">
        <f t="shared" si="2"/>
        <v>1.477455443789063</v>
      </c>
      <c r="I17" s="2"/>
      <c r="K17" s="84">
        <v>9</v>
      </c>
      <c r="L17" s="62">
        <f t="shared" si="3"/>
        <v>112.6492586595307</v>
      </c>
      <c r="M17" s="62">
        <f t="shared" si="4"/>
        <v>185.87127678822563</v>
      </c>
      <c r="N17" s="62">
        <f t="shared" si="8"/>
        <v>-73.22201812869493</v>
      </c>
      <c r="O17" s="3"/>
      <c r="P17" s="106"/>
      <c r="Q17" s="65">
        <f t="shared" si="5"/>
        <v>1.126492586595307</v>
      </c>
      <c r="S17" s="443">
        <f t="shared" si="6"/>
        <v>790.1847357560174</v>
      </c>
    </row>
    <row r="18" spans="2:19" ht="13.5" thickBot="1">
      <c r="B18" s="84">
        <v>10</v>
      </c>
      <c r="C18" s="63">
        <f t="shared" si="0"/>
        <v>1369.6808681772675</v>
      </c>
      <c r="D18" s="63">
        <f t="shared" si="1"/>
        <v>463.10377659831966</v>
      </c>
      <c r="E18" s="63">
        <f t="shared" si="7"/>
        <v>906.5770915789478</v>
      </c>
      <c r="F18" s="3"/>
      <c r="G18" s="106"/>
      <c r="H18" s="65">
        <f t="shared" si="2"/>
        <v>1.5513282159785162</v>
      </c>
      <c r="I18" s="2"/>
      <c r="K18" s="84">
        <v>10</v>
      </c>
      <c r="L18" s="63">
        <f t="shared" si="3"/>
        <v>114.33899753942366</v>
      </c>
      <c r="M18" s="63">
        <f t="shared" si="4"/>
        <v>188.659345940049</v>
      </c>
      <c r="N18" s="63">
        <f t="shared" si="8"/>
        <v>-74.32034840062535</v>
      </c>
      <c r="O18" s="3"/>
      <c r="P18" s="106"/>
      <c r="Q18" s="65">
        <f t="shared" si="5"/>
        <v>1.1433899753942367</v>
      </c>
      <c r="S18" s="443">
        <f t="shared" si="6"/>
        <v>832.2567431783225</v>
      </c>
    </row>
    <row r="19" spans="2:19" ht="12.75">
      <c r="B19" s="88" t="s">
        <v>107</v>
      </c>
      <c r="C19" s="87">
        <f>SUM(C9:C18)</f>
        <v>11105.128231722614</v>
      </c>
      <c r="D19" s="87">
        <f>SUM(D9:D18)</f>
        <v>3754.7628379764774</v>
      </c>
      <c r="E19" s="87">
        <f t="shared" si="7"/>
        <v>7350.365393746137</v>
      </c>
      <c r="F19" s="88" t="s">
        <v>212</v>
      </c>
      <c r="G19" s="249">
        <f>SUM(H9:H18)/10</f>
        <v>1.2577892535548831</v>
      </c>
      <c r="H19" s="3"/>
      <c r="K19" s="88" t="s">
        <v>107</v>
      </c>
      <c r="L19" s="87">
        <f>SUM(L9:L18)</f>
        <v>1070.2721668343338</v>
      </c>
      <c r="M19" s="87">
        <f>SUM(M9:M18)</f>
        <v>1765.9490752766512</v>
      </c>
      <c r="N19" s="87">
        <f t="shared" si="8"/>
        <v>-695.6769084423174</v>
      </c>
      <c r="O19" s="88" t="s">
        <v>212</v>
      </c>
      <c r="P19" s="249">
        <f>SUM(Q9:Q18)/10</f>
        <v>1.070272166834334</v>
      </c>
      <c r="Q19" s="3"/>
      <c r="S19" s="443">
        <f t="shared" si="6"/>
        <v>6654.688485303819</v>
      </c>
    </row>
    <row r="20" spans="2:19" ht="12.75">
      <c r="B20" s="84">
        <v>11</v>
      </c>
      <c r="C20" s="62">
        <f>C18+C18*E$5</f>
        <v>1438.1649115861308</v>
      </c>
      <c r="D20" s="62">
        <f>D18+D18*E$5</f>
        <v>486.2589654282356</v>
      </c>
      <c r="E20" s="62">
        <f t="shared" si="7"/>
        <v>951.9059461578952</v>
      </c>
      <c r="F20" s="64"/>
      <c r="G20" s="106"/>
      <c r="H20" s="65">
        <f>H18+H18*E$5</f>
        <v>1.628894626777442</v>
      </c>
      <c r="K20" s="84">
        <v>11</v>
      </c>
      <c r="L20" s="62">
        <f>L18+L18*N$5</f>
        <v>116.05408250251502</v>
      </c>
      <c r="M20" s="62">
        <f>M18+M18*N$5</f>
        <v>191.48923612914973</v>
      </c>
      <c r="N20" s="62">
        <f t="shared" si="8"/>
        <v>-75.43515362663472</v>
      </c>
      <c r="O20" s="64"/>
      <c r="P20" s="106"/>
      <c r="Q20" s="65">
        <f>Q18+Q18*N$5</f>
        <v>1.1605408250251503</v>
      </c>
      <c r="S20" s="443">
        <f t="shared" si="6"/>
        <v>876.4707925312605</v>
      </c>
    </row>
    <row r="21" spans="2:19" ht="12.75">
      <c r="B21" s="84">
        <v>12</v>
      </c>
      <c r="C21" s="62">
        <f aca="true" t="shared" si="9" ref="C21:C29">C20+C20*E$5</f>
        <v>1510.0731571654374</v>
      </c>
      <c r="D21" s="62">
        <f aca="true" t="shared" si="10" ref="D21:D29">D20+D20*E$5</f>
        <v>510.57191369964744</v>
      </c>
      <c r="E21" s="62">
        <f t="shared" si="7"/>
        <v>999.5012434657899</v>
      </c>
      <c r="F21" s="64"/>
      <c r="G21" s="106"/>
      <c r="H21" s="65">
        <f aca="true" t="shared" si="11" ref="H21:H29">H20+H20*E$5</f>
        <v>1.7103393581163142</v>
      </c>
      <c r="K21" s="84">
        <v>12</v>
      </c>
      <c r="L21" s="62">
        <f aca="true" t="shared" si="12" ref="L21:L29">L20+L20*N$5</f>
        <v>117.79489374005274</v>
      </c>
      <c r="M21" s="62">
        <f aca="true" t="shared" si="13" ref="M21:M29">M20+M20*N$5</f>
        <v>194.36157467108697</v>
      </c>
      <c r="N21" s="62">
        <f t="shared" si="8"/>
        <v>-76.56668093103423</v>
      </c>
      <c r="O21" s="64"/>
      <c r="P21" s="106"/>
      <c r="Q21" s="65">
        <f aca="true" t="shared" si="14" ref="Q21:Q29">Q20+Q20*N$5</f>
        <v>1.1779489374005276</v>
      </c>
      <c r="S21" s="443">
        <f t="shared" si="6"/>
        <v>922.9345625347557</v>
      </c>
    </row>
    <row r="22" spans="2:19" ht="12.75">
      <c r="B22" s="84">
        <v>13</v>
      </c>
      <c r="C22" s="62">
        <f t="shared" si="9"/>
        <v>1585.5768150237093</v>
      </c>
      <c r="D22" s="62">
        <f t="shared" si="10"/>
        <v>536.1005093846298</v>
      </c>
      <c r="E22" s="62">
        <f t="shared" si="7"/>
        <v>1049.4763056390793</v>
      </c>
      <c r="F22" s="64"/>
      <c r="G22" s="106"/>
      <c r="H22" s="65">
        <f t="shared" si="11"/>
        <v>1.7958563260221299</v>
      </c>
      <c r="K22" s="84">
        <v>13</v>
      </c>
      <c r="L22" s="62">
        <f t="shared" si="12"/>
        <v>119.56181714615353</v>
      </c>
      <c r="M22" s="62">
        <f t="shared" si="13"/>
        <v>197.27699829115326</v>
      </c>
      <c r="N22" s="62">
        <f t="shared" si="8"/>
        <v>-77.71518114499973</v>
      </c>
      <c r="O22" s="64"/>
      <c r="P22" s="106"/>
      <c r="Q22" s="65">
        <f t="shared" si="14"/>
        <v>1.1956181714615355</v>
      </c>
      <c r="S22" s="443">
        <f t="shared" si="6"/>
        <v>971.7611244940796</v>
      </c>
    </row>
    <row r="23" spans="2:19" ht="12.75">
      <c r="B23" s="84">
        <v>14</v>
      </c>
      <c r="C23" s="62">
        <f t="shared" si="9"/>
        <v>1664.8556557748948</v>
      </c>
      <c r="D23" s="62">
        <f t="shared" si="10"/>
        <v>562.9055348538614</v>
      </c>
      <c r="E23" s="62">
        <f t="shared" si="7"/>
        <v>1101.9501209210334</v>
      </c>
      <c r="F23" s="64"/>
      <c r="G23" s="106"/>
      <c r="H23" s="65">
        <f t="shared" si="11"/>
        <v>1.8856491423232364</v>
      </c>
      <c r="K23" s="84">
        <v>14</v>
      </c>
      <c r="L23" s="62">
        <f t="shared" si="12"/>
        <v>121.35524440334584</v>
      </c>
      <c r="M23" s="62">
        <f t="shared" si="13"/>
        <v>200.23615326552056</v>
      </c>
      <c r="N23" s="62">
        <f t="shared" si="8"/>
        <v>-78.88090886217472</v>
      </c>
      <c r="O23" s="64"/>
      <c r="P23" s="106"/>
      <c r="Q23" s="65">
        <f t="shared" si="14"/>
        <v>1.2135524440334584</v>
      </c>
      <c r="S23" s="443">
        <f t="shared" si="6"/>
        <v>1023.0692120588587</v>
      </c>
    </row>
    <row r="24" spans="2:19" ht="12.75">
      <c r="B24" s="84">
        <v>15</v>
      </c>
      <c r="C24" s="62">
        <f t="shared" si="9"/>
        <v>1748.0984385636395</v>
      </c>
      <c r="D24" s="62">
        <f t="shared" si="10"/>
        <v>591.0508115965545</v>
      </c>
      <c r="E24" s="62">
        <f t="shared" si="7"/>
        <v>1157.047626967085</v>
      </c>
      <c r="F24" s="64"/>
      <c r="G24" s="106"/>
      <c r="H24" s="65">
        <f t="shared" si="11"/>
        <v>1.9799315994393982</v>
      </c>
      <c r="K24" s="84">
        <v>15</v>
      </c>
      <c r="L24" s="62">
        <f t="shared" si="12"/>
        <v>123.17557306939602</v>
      </c>
      <c r="M24" s="62">
        <f t="shared" si="13"/>
        <v>203.23969556450336</v>
      </c>
      <c r="N24" s="62">
        <f t="shared" si="8"/>
        <v>-80.06412249510734</v>
      </c>
      <c r="O24" s="64"/>
      <c r="P24" s="106"/>
      <c r="Q24" s="65">
        <f t="shared" si="14"/>
        <v>1.2317557306939604</v>
      </c>
      <c r="S24" s="443">
        <f t="shared" si="6"/>
        <v>1076.9835044719778</v>
      </c>
    </row>
    <row r="25" spans="2:19" ht="12.75">
      <c r="B25" s="84">
        <v>16</v>
      </c>
      <c r="C25" s="62">
        <f t="shared" si="9"/>
        <v>1835.5033604918215</v>
      </c>
      <c r="D25" s="62">
        <f t="shared" si="10"/>
        <v>620.6033521763821</v>
      </c>
      <c r="E25" s="62">
        <f t="shared" si="7"/>
        <v>1214.9000083154392</v>
      </c>
      <c r="F25" s="64"/>
      <c r="G25" s="106"/>
      <c r="H25" s="65">
        <f t="shared" si="11"/>
        <v>2.0789281794113683</v>
      </c>
      <c r="K25" s="84">
        <v>16</v>
      </c>
      <c r="L25" s="62">
        <f t="shared" si="12"/>
        <v>125.02320666543696</v>
      </c>
      <c r="M25" s="62">
        <f t="shared" si="13"/>
        <v>206.2882909979709</v>
      </c>
      <c r="N25" s="62">
        <f t="shared" si="8"/>
        <v>-81.26508433253395</v>
      </c>
      <c r="O25" s="64"/>
      <c r="P25" s="106"/>
      <c r="Q25" s="65">
        <f t="shared" si="14"/>
        <v>1.2502320666543698</v>
      </c>
      <c r="S25" s="443">
        <f t="shared" si="6"/>
        <v>1133.6349239829053</v>
      </c>
    </row>
    <row r="26" spans="2:19" ht="12.75">
      <c r="B26" s="84">
        <v>17</v>
      </c>
      <c r="C26" s="62">
        <f t="shared" si="9"/>
        <v>1927.2785285164125</v>
      </c>
      <c r="D26" s="62">
        <f t="shared" si="10"/>
        <v>651.6335197852012</v>
      </c>
      <c r="E26" s="62">
        <f t="shared" si="7"/>
        <v>1275.6450087312114</v>
      </c>
      <c r="F26" s="64"/>
      <c r="G26" s="106"/>
      <c r="H26" s="65">
        <f t="shared" si="11"/>
        <v>2.182874588381937</v>
      </c>
      <c r="K26" s="84">
        <v>17</v>
      </c>
      <c r="L26" s="62">
        <f t="shared" si="12"/>
        <v>126.89855476541851</v>
      </c>
      <c r="M26" s="62">
        <f t="shared" si="13"/>
        <v>209.38261536294047</v>
      </c>
      <c r="N26" s="62">
        <f t="shared" si="8"/>
        <v>-82.48406059752196</v>
      </c>
      <c r="O26" s="64"/>
      <c r="P26" s="106"/>
      <c r="Q26" s="65">
        <f t="shared" si="14"/>
        <v>1.2689855476541854</v>
      </c>
      <c r="S26" s="443">
        <f t="shared" si="6"/>
        <v>1193.1609481336895</v>
      </c>
    </row>
    <row r="27" spans="2:19" ht="12.75">
      <c r="B27" s="84">
        <v>18</v>
      </c>
      <c r="C27" s="62">
        <f t="shared" si="9"/>
        <v>2023.6424549422331</v>
      </c>
      <c r="D27" s="62">
        <f t="shared" si="10"/>
        <v>684.2151957744612</v>
      </c>
      <c r="E27" s="62">
        <f t="shared" si="7"/>
        <v>1339.4272591677718</v>
      </c>
      <c r="F27" s="64"/>
      <c r="G27" s="106"/>
      <c r="H27" s="65">
        <f t="shared" si="11"/>
        <v>2.2920183178010336</v>
      </c>
      <c r="K27" s="84">
        <v>18</v>
      </c>
      <c r="L27" s="62">
        <f t="shared" si="12"/>
        <v>128.8020330868998</v>
      </c>
      <c r="M27" s="62">
        <f t="shared" si="13"/>
        <v>212.52335459338457</v>
      </c>
      <c r="N27" s="62">
        <f t="shared" si="8"/>
        <v>-83.72132150648477</v>
      </c>
      <c r="O27" s="64"/>
      <c r="P27" s="106"/>
      <c r="Q27" s="65">
        <f t="shared" si="14"/>
        <v>1.2880203308689981</v>
      </c>
      <c r="S27" s="443">
        <f t="shared" si="6"/>
        <v>1255.705937661287</v>
      </c>
    </row>
    <row r="28" spans="2:19" ht="12.75">
      <c r="B28" s="84">
        <v>19</v>
      </c>
      <c r="C28" s="62">
        <f t="shared" si="9"/>
        <v>2124.824577689345</v>
      </c>
      <c r="D28" s="62">
        <f t="shared" si="10"/>
        <v>718.4259555631843</v>
      </c>
      <c r="E28" s="62">
        <f t="shared" si="7"/>
        <v>1406.3986221261607</v>
      </c>
      <c r="F28" s="64"/>
      <c r="G28" s="106"/>
      <c r="H28" s="65">
        <f t="shared" si="11"/>
        <v>2.406619233691085</v>
      </c>
      <c r="K28" s="84">
        <v>19</v>
      </c>
      <c r="L28" s="62">
        <f t="shared" si="12"/>
        <v>130.7340635832033</v>
      </c>
      <c r="M28" s="62">
        <f t="shared" si="13"/>
        <v>215.71120491228533</v>
      </c>
      <c r="N28" s="62">
        <f t="shared" si="8"/>
        <v>-84.97714132908203</v>
      </c>
      <c r="O28" s="64"/>
      <c r="P28" s="106"/>
      <c r="Q28" s="65">
        <f t="shared" si="14"/>
        <v>1.3073406358320332</v>
      </c>
      <c r="S28" s="443">
        <f t="shared" si="6"/>
        <v>1321.4214807970786</v>
      </c>
    </row>
    <row r="29" spans="2:19" ht="13.5" thickBot="1">
      <c r="B29" s="84">
        <v>20</v>
      </c>
      <c r="C29" s="63">
        <f t="shared" si="9"/>
        <v>2231.065806573812</v>
      </c>
      <c r="D29" s="63">
        <f t="shared" si="10"/>
        <v>754.3472533413435</v>
      </c>
      <c r="E29" s="63">
        <f t="shared" si="7"/>
        <v>1476.7185532324686</v>
      </c>
      <c r="F29" s="64"/>
      <c r="G29" s="106"/>
      <c r="H29" s="65">
        <f t="shared" si="11"/>
        <v>2.5269501953756395</v>
      </c>
      <c r="K29" s="84">
        <v>20</v>
      </c>
      <c r="L29" s="63">
        <f t="shared" si="12"/>
        <v>132.69507453695135</v>
      </c>
      <c r="M29" s="63">
        <f t="shared" si="13"/>
        <v>218.9468729859696</v>
      </c>
      <c r="N29" s="63">
        <f t="shared" si="8"/>
        <v>-86.25179844901825</v>
      </c>
      <c r="O29" s="64"/>
      <c r="P29" s="106"/>
      <c r="Q29" s="65">
        <f t="shared" si="14"/>
        <v>1.3269507453695137</v>
      </c>
      <c r="S29" s="443">
        <f t="shared" si="6"/>
        <v>1390.4667547834504</v>
      </c>
    </row>
    <row r="30" spans="2:19" ht="12.75">
      <c r="B30" s="88" t="s">
        <v>108</v>
      </c>
      <c r="C30" s="87">
        <f>SUM(C19:C29)</f>
        <v>29194.211938050055</v>
      </c>
      <c r="D30" s="87">
        <f>SUM(D19:D29)</f>
        <v>9870.875849579981</v>
      </c>
      <c r="E30" s="87">
        <f>C30-D30</f>
        <v>19323.336088470074</v>
      </c>
      <c r="F30" s="88" t="s">
        <v>213</v>
      </c>
      <c r="G30" s="249">
        <f>SUM(H9:H29)/20</f>
        <v>1.6532977051444209</v>
      </c>
      <c r="K30" s="88" t="s">
        <v>108</v>
      </c>
      <c r="L30" s="87">
        <f>SUM(L19:L29)</f>
        <v>2312.3667103337066</v>
      </c>
      <c r="M30" s="87">
        <f>SUM(M19:M29)</f>
        <v>3815.405072050616</v>
      </c>
      <c r="N30" s="87">
        <f>L30-M30</f>
        <v>-1503.0383617169095</v>
      </c>
      <c r="O30" s="88" t="s">
        <v>213</v>
      </c>
      <c r="P30" s="249">
        <f>SUM(Q9:Q29)/20</f>
        <v>1.1561833551668539</v>
      </c>
      <c r="S30" s="443">
        <f t="shared" si="6"/>
        <v>17820.297726753164</v>
      </c>
    </row>
    <row r="31" spans="2:19" ht="12.75">
      <c r="B31" s="84">
        <v>21</v>
      </c>
      <c r="C31" s="62">
        <f>C29+C29*E$5</f>
        <v>2342.619096902503</v>
      </c>
      <c r="D31" s="62">
        <f>D29+D29*E$5</f>
        <v>792.0646160084107</v>
      </c>
      <c r="E31" s="62">
        <f t="shared" si="7"/>
        <v>1550.5544808940922</v>
      </c>
      <c r="F31" s="64"/>
      <c r="G31" s="106"/>
      <c r="H31" s="65">
        <f>H29+H29*E$5</f>
        <v>2.6532977051444213</v>
      </c>
      <c r="K31" s="84">
        <v>21</v>
      </c>
      <c r="L31" s="62">
        <f>L29+L29*N$5</f>
        <v>134.68550065500563</v>
      </c>
      <c r="M31" s="62">
        <f>M29+M29*N$5</f>
        <v>222.23107608075915</v>
      </c>
      <c r="N31" s="62">
        <f aca="true" t="shared" si="15" ref="N31:N63">L31-M31</f>
        <v>-87.54557542575353</v>
      </c>
      <c r="O31" s="64"/>
      <c r="P31" s="106"/>
      <c r="Q31" s="65">
        <f>Q29+Q29*N$5</f>
        <v>1.3468550065500564</v>
      </c>
      <c r="S31" s="443">
        <f t="shared" si="6"/>
        <v>1463.0089054683388</v>
      </c>
    </row>
    <row r="32" spans="2:19" ht="12.75">
      <c r="B32" s="84">
        <v>22</v>
      </c>
      <c r="C32" s="62">
        <f aca="true" t="shared" si="16" ref="C32:C40">C31+C31*E$5</f>
        <v>2459.750051747628</v>
      </c>
      <c r="D32" s="62">
        <f aca="true" t="shared" si="17" ref="D32:D40">D31+D31*E$5</f>
        <v>831.6678468088312</v>
      </c>
      <c r="E32" s="62">
        <f aca="true" t="shared" si="18" ref="E32:E41">C32-D32</f>
        <v>1628.0822049387966</v>
      </c>
      <c r="F32" s="64"/>
      <c r="G32" s="106"/>
      <c r="H32" s="65">
        <f aca="true" t="shared" si="19" ref="H32:H40">H31+H31*E$5</f>
        <v>2.7859625904016423</v>
      </c>
      <c r="K32" s="84">
        <v>22</v>
      </c>
      <c r="L32" s="62">
        <f aca="true" t="shared" si="20" ref="L32:L40">L31+L31*N$5</f>
        <v>136.7057831648307</v>
      </c>
      <c r="M32" s="62">
        <f aca="true" t="shared" si="21" ref="M32:M40">M31+M31*N$5</f>
        <v>225.56454222197053</v>
      </c>
      <c r="N32" s="62">
        <f t="shared" si="15"/>
        <v>-88.85875905713982</v>
      </c>
      <c r="O32" s="64"/>
      <c r="P32" s="106"/>
      <c r="Q32" s="65">
        <f aca="true" t="shared" si="22" ref="Q32:Q40">Q31+Q31*N$5</f>
        <v>1.3670578316483073</v>
      </c>
      <c r="S32" s="443">
        <f t="shared" si="6"/>
        <v>1539.2234458816567</v>
      </c>
    </row>
    <row r="33" spans="2:19" ht="12.75">
      <c r="B33" s="84">
        <v>23</v>
      </c>
      <c r="C33" s="62">
        <f t="shared" si="16"/>
        <v>2582.737554335009</v>
      </c>
      <c r="D33" s="62">
        <f t="shared" si="17"/>
        <v>873.2512391492728</v>
      </c>
      <c r="E33" s="62">
        <f t="shared" si="18"/>
        <v>1709.4863151857362</v>
      </c>
      <c r="F33" s="64"/>
      <c r="G33" s="106"/>
      <c r="H33" s="65">
        <f t="shared" si="19"/>
        <v>2.925260719921724</v>
      </c>
      <c r="K33" s="84">
        <v>23</v>
      </c>
      <c r="L33" s="62">
        <f t="shared" si="20"/>
        <v>138.75636991230317</v>
      </c>
      <c r="M33" s="62">
        <f t="shared" si="21"/>
        <v>228.94801035530008</v>
      </c>
      <c r="N33" s="62">
        <f t="shared" si="15"/>
        <v>-90.19164044299691</v>
      </c>
      <c r="O33" s="64"/>
      <c r="P33" s="106"/>
      <c r="Q33" s="65">
        <f t="shared" si="22"/>
        <v>1.387563699123032</v>
      </c>
      <c r="S33" s="443">
        <f t="shared" si="6"/>
        <v>1619.2946747427393</v>
      </c>
    </row>
    <row r="34" spans="2:19" ht="12.75">
      <c r="B34" s="84">
        <v>24</v>
      </c>
      <c r="C34" s="62">
        <f t="shared" si="16"/>
        <v>2711.8744320517594</v>
      </c>
      <c r="D34" s="62">
        <f t="shared" si="17"/>
        <v>916.9138011067364</v>
      </c>
      <c r="E34" s="62">
        <f t="shared" si="18"/>
        <v>1794.960630945023</v>
      </c>
      <c r="F34" s="64"/>
      <c r="G34" s="106"/>
      <c r="H34" s="65">
        <f t="shared" si="19"/>
        <v>3.0715237559178106</v>
      </c>
      <c r="K34" s="84">
        <v>24</v>
      </c>
      <c r="L34" s="62">
        <f t="shared" si="20"/>
        <v>140.8377154609877</v>
      </c>
      <c r="M34" s="62">
        <f t="shared" si="21"/>
        <v>232.3822305106296</v>
      </c>
      <c r="N34" s="62">
        <f t="shared" si="15"/>
        <v>-91.54451504964189</v>
      </c>
      <c r="O34" s="64"/>
      <c r="P34" s="106"/>
      <c r="Q34" s="65">
        <f t="shared" si="22"/>
        <v>1.4083771546098776</v>
      </c>
      <c r="S34" s="443">
        <f t="shared" si="6"/>
        <v>1703.4161158953812</v>
      </c>
    </row>
    <row r="35" spans="2:19" ht="12.75">
      <c r="B35" s="84">
        <v>25</v>
      </c>
      <c r="C35" s="62">
        <f t="shared" si="16"/>
        <v>2847.4681536543476</v>
      </c>
      <c r="D35" s="62">
        <f t="shared" si="17"/>
        <v>962.7594911620732</v>
      </c>
      <c r="E35" s="62">
        <f t="shared" si="18"/>
        <v>1884.7086624922745</v>
      </c>
      <c r="F35" s="64"/>
      <c r="G35" s="106"/>
      <c r="H35" s="65">
        <f t="shared" si="19"/>
        <v>3.225099943713701</v>
      </c>
      <c r="K35" s="84">
        <v>25</v>
      </c>
      <c r="L35" s="62">
        <f t="shared" si="20"/>
        <v>142.95028119290254</v>
      </c>
      <c r="M35" s="62">
        <f t="shared" si="21"/>
        <v>235.86796396828905</v>
      </c>
      <c r="N35" s="62">
        <f t="shared" si="15"/>
        <v>-92.91768277538651</v>
      </c>
      <c r="O35" s="64"/>
      <c r="P35" s="106"/>
      <c r="Q35" s="65">
        <f t="shared" si="22"/>
        <v>1.4295028119290256</v>
      </c>
      <c r="S35" s="443">
        <f t="shared" si="6"/>
        <v>1791.790979716888</v>
      </c>
    </row>
    <row r="36" spans="2:19" ht="12.75">
      <c r="B36" s="84">
        <v>26</v>
      </c>
      <c r="C36" s="62">
        <f t="shared" si="16"/>
        <v>2989.841561337065</v>
      </c>
      <c r="D36" s="62">
        <f t="shared" si="17"/>
        <v>1010.8974657201769</v>
      </c>
      <c r="E36" s="62">
        <f t="shared" si="18"/>
        <v>1978.9440956168878</v>
      </c>
      <c r="F36" s="64"/>
      <c r="G36" s="106"/>
      <c r="H36" s="65">
        <f t="shared" si="19"/>
        <v>3.3863549408993863</v>
      </c>
      <c r="K36" s="84">
        <v>26</v>
      </c>
      <c r="L36" s="62">
        <f t="shared" si="20"/>
        <v>145.09453541079608</v>
      </c>
      <c r="M36" s="62">
        <f t="shared" si="21"/>
        <v>239.4059834278134</v>
      </c>
      <c r="N36" s="62">
        <f t="shared" si="15"/>
        <v>-94.31144801701731</v>
      </c>
      <c r="O36" s="64"/>
      <c r="P36" s="106"/>
      <c r="Q36" s="65">
        <f t="shared" si="22"/>
        <v>1.450945354107961</v>
      </c>
      <c r="S36" s="443">
        <f t="shared" si="6"/>
        <v>1884.6326475998706</v>
      </c>
    </row>
    <row r="37" spans="2:19" ht="12.75">
      <c r="B37" s="84">
        <v>27</v>
      </c>
      <c r="C37" s="62">
        <f t="shared" si="16"/>
        <v>3139.333639403918</v>
      </c>
      <c r="D37" s="62">
        <f t="shared" si="17"/>
        <v>1061.4423390061856</v>
      </c>
      <c r="E37" s="62">
        <f t="shared" si="18"/>
        <v>2077.8913003977323</v>
      </c>
      <c r="F37" s="64"/>
      <c r="G37" s="106"/>
      <c r="H37" s="65">
        <f t="shared" si="19"/>
        <v>3.5556726879443556</v>
      </c>
      <c r="K37" s="84">
        <v>27</v>
      </c>
      <c r="L37" s="62">
        <f t="shared" si="20"/>
        <v>147.27095344195803</v>
      </c>
      <c r="M37" s="62">
        <f t="shared" si="21"/>
        <v>242.9970731792306</v>
      </c>
      <c r="N37" s="62">
        <f t="shared" si="15"/>
        <v>-95.72611973727257</v>
      </c>
      <c r="O37" s="64"/>
      <c r="P37" s="106"/>
      <c r="Q37" s="65">
        <f t="shared" si="22"/>
        <v>1.4727095344195804</v>
      </c>
      <c r="S37" s="443">
        <f t="shared" si="6"/>
        <v>1982.1651806604598</v>
      </c>
    </row>
    <row r="38" spans="2:19" ht="12.75">
      <c r="B38" s="84">
        <v>28</v>
      </c>
      <c r="C38" s="62">
        <f t="shared" si="16"/>
        <v>3296.300321374114</v>
      </c>
      <c r="D38" s="62">
        <f t="shared" si="17"/>
        <v>1114.5144559564949</v>
      </c>
      <c r="E38" s="62">
        <f t="shared" si="18"/>
        <v>2181.785865417619</v>
      </c>
      <c r="F38" s="64"/>
      <c r="G38" s="106"/>
      <c r="H38" s="65">
        <f t="shared" si="19"/>
        <v>3.7334563223415733</v>
      </c>
      <c r="K38" s="84">
        <v>28</v>
      </c>
      <c r="L38" s="62">
        <f t="shared" si="20"/>
        <v>149.4800177435874</v>
      </c>
      <c r="M38" s="62">
        <f t="shared" si="21"/>
        <v>246.64202927691906</v>
      </c>
      <c r="N38" s="62">
        <f t="shared" si="15"/>
        <v>-97.16201153333165</v>
      </c>
      <c r="O38" s="64"/>
      <c r="P38" s="106"/>
      <c r="Q38" s="65">
        <f t="shared" si="22"/>
        <v>1.4948001774358741</v>
      </c>
      <c r="S38" s="443">
        <f t="shared" si="6"/>
        <v>2084.623853884287</v>
      </c>
    </row>
    <row r="39" spans="2:19" ht="12.75">
      <c r="B39" s="84">
        <v>29</v>
      </c>
      <c r="C39" s="62">
        <f t="shared" si="16"/>
        <v>3461.1153374428195</v>
      </c>
      <c r="D39" s="62">
        <f t="shared" si="17"/>
        <v>1170.2401787543197</v>
      </c>
      <c r="E39" s="62">
        <f t="shared" si="18"/>
        <v>2290.8751586885</v>
      </c>
      <c r="F39" s="64"/>
      <c r="G39" s="106"/>
      <c r="H39" s="65">
        <f t="shared" si="19"/>
        <v>3.920129138458652</v>
      </c>
      <c r="K39" s="84">
        <v>29</v>
      </c>
      <c r="L39" s="62">
        <f t="shared" si="20"/>
        <v>151.72221800974123</v>
      </c>
      <c r="M39" s="62">
        <f t="shared" si="21"/>
        <v>250.34165971607285</v>
      </c>
      <c r="N39" s="62">
        <f t="shared" si="15"/>
        <v>-98.61944170633163</v>
      </c>
      <c r="O39" s="64"/>
      <c r="P39" s="106"/>
      <c r="Q39" s="65">
        <f t="shared" si="22"/>
        <v>1.5172221800974122</v>
      </c>
      <c r="S39" s="443">
        <f t="shared" si="6"/>
        <v>2192.2557169821685</v>
      </c>
    </row>
    <row r="40" spans="2:19" ht="13.5" thickBot="1">
      <c r="B40" s="84">
        <v>30</v>
      </c>
      <c r="C40" s="63">
        <f t="shared" si="16"/>
        <v>3634.1711043149603</v>
      </c>
      <c r="D40" s="63">
        <f t="shared" si="17"/>
        <v>1228.7521876920357</v>
      </c>
      <c r="E40" s="63">
        <f t="shared" si="18"/>
        <v>2405.4189166229244</v>
      </c>
      <c r="F40" s="64"/>
      <c r="G40" s="106"/>
      <c r="H40" s="65">
        <f t="shared" si="19"/>
        <v>4.116135595381585</v>
      </c>
      <c r="K40" s="84">
        <v>30</v>
      </c>
      <c r="L40" s="63">
        <f t="shared" si="20"/>
        <v>153.99805127988733</v>
      </c>
      <c r="M40" s="63">
        <f t="shared" si="21"/>
        <v>254.09678461181394</v>
      </c>
      <c r="N40" s="63">
        <f t="shared" si="15"/>
        <v>-100.09873333192661</v>
      </c>
      <c r="O40" s="64"/>
      <c r="P40" s="106"/>
      <c r="Q40" s="65">
        <f t="shared" si="22"/>
        <v>1.5399805127988733</v>
      </c>
      <c r="S40" s="443">
        <f t="shared" si="6"/>
        <v>2305.3201832909976</v>
      </c>
    </row>
    <row r="41" spans="2:19" ht="12.75">
      <c r="B41" s="88" t="s">
        <v>109</v>
      </c>
      <c r="C41" s="89">
        <f>SUM(C30:C40)</f>
        <v>58659.42319061418</v>
      </c>
      <c r="D41" s="89">
        <f>SUM(D30:D40)</f>
        <v>19833.37947094452</v>
      </c>
      <c r="E41" s="89">
        <f t="shared" si="18"/>
        <v>38826.04371966966</v>
      </c>
      <c r="F41" s="88" t="s">
        <v>214</v>
      </c>
      <c r="G41" s="249">
        <f>SUM(H9:H40)/30</f>
        <v>2.214628250100442</v>
      </c>
      <c r="K41" s="88" t="s">
        <v>109</v>
      </c>
      <c r="L41" s="89">
        <f>SUM(L30:L40)</f>
        <v>3753.8681366057062</v>
      </c>
      <c r="M41" s="89">
        <f>SUM(M30:M40)</f>
        <v>6193.8824253994135</v>
      </c>
      <c r="N41" s="89">
        <f t="shared" si="15"/>
        <v>-2440.0142887937072</v>
      </c>
      <c r="O41" s="88" t="s">
        <v>214</v>
      </c>
      <c r="P41" s="249">
        <f>SUM(Q9:Q40)/30</f>
        <v>1.2512893788685693</v>
      </c>
      <c r="S41" s="443">
        <f t="shared" si="6"/>
        <v>36386.02943087595</v>
      </c>
    </row>
    <row r="42" spans="2:19" ht="12.75">
      <c r="B42" s="84">
        <v>31</v>
      </c>
      <c r="C42" s="62">
        <f>C40+C40*E$5</f>
        <v>3815.8796595307085</v>
      </c>
      <c r="D42" s="62">
        <f>D40+D40*E$5</f>
        <v>1290.1897970766374</v>
      </c>
      <c r="E42" s="62">
        <f aca="true" t="shared" si="23" ref="E42:E52">C42-D42</f>
        <v>2525.689862454071</v>
      </c>
      <c r="F42" s="64"/>
      <c r="G42" s="106"/>
      <c r="H42" s="65">
        <f>H40+H40*E$5</f>
        <v>4.321942375150664</v>
      </c>
      <c r="K42" s="84">
        <v>31</v>
      </c>
      <c r="L42" s="62">
        <f>L40+L40*N$5</f>
        <v>156.30802204908565</v>
      </c>
      <c r="M42" s="62">
        <f>M40+M40*N$5</f>
        <v>257.9082363809911</v>
      </c>
      <c r="N42" s="62">
        <f t="shared" si="15"/>
        <v>-101.60021433190548</v>
      </c>
      <c r="O42" s="64"/>
      <c r="P42" s="106"/>
      <c r="Q42" s="65">
        <f>Q40+Q40*N$5</f>
        <v>1.5630802204908563</v>
      </c>
      <c r="S42" s="443">
        <f t="shared" si="6"/>
        <v>2424.0896481221653</v>
      </c>
    </row>
    <row r="43" spans="2:19" ht="12.75">
      <c r="B43" s="84">
        <v>32</v>
      </c>
      <c r="C43" s="62">
        <f aca="true" t="shared" si="24" ref="C43:C51">C42+C42*E$5</f>
        <v>4006.673642507244</v>
      </c>
      <c r="D43" s="62">
        <f aca="true" t="shared" si="25" ref="D43:D51">D42+D42*E$5</f>
        <v>1354.6992869304693</v>
      </c>
      <c r="E43" s="62">
        <f t="shared" si="23"/>
        <v>2651.9743555767745</v>
      </c>
      <c r="F43" s="64"/>
      <c r="G43" s="106"/>
      <c r="H43" s="65">
        <f aca="true" t="shared" si="26" ref="H43:H51">H42+H42*E$5</f>
        <v>4.538039493908197</v>
      </c>
      <c r="K43" s="84">
        <v>32</v>
      </c>
      <c r="L43" s="62">
        <f aca="true" t="shared" si="27" ref="L43:L51">L42+L42*N$5</f>
        <v>158.65264237982194</v>
      </c>
      <c r="M43" s="62">
        <f aca="true" t="shared" si="28" ref="M43:M51">M42+M42*N$5</f>
        <v>261.776859926706</v>
      </c>
      <c r="N43" s="62">
        <f t="shared" si="15"/>
        <v>-103.12421754688404</v>
      </c>
      <c r="O43" s="64"/>
      <c r="P43" s="106"/>
      <c r="Q43" s="65">
        <f aca="true" t="shared" si="29" ref="Q43:Q51">Q42+Q42*N$5</f>
        <v>1.586526423798219</v>
      </c>
      <c r="S43" s="443">
        <f t="shared" si="6"/>
        <v>2548.8501380298903</v>
      </c>
    </row>
    <row r="44" spans="2:19" ht="12.75">
      <c r="B44" s="84">
        <v>33</v>
      </c>
      <c r="C44" s="62">
        <f t="shared" si="24"/>
        <v>4207.0073246326065</v>
      </c>
      <c r="D44" s="62">
        <f t="shared" si="25"/>
        <v>1422.4342512769927</v>
      </c>
      <c r="E44" s="62">
        <f t="shared" si="23"/>
        <v>2784.573073355614</v>
      </c>
      <c r="F44" s="64"/>
      <c r="G44" s="106"/>
      <c r="H44" s="65">
        <f t="shared" si="26"/>
        <v>4.764941468603607</v>
      </c>
      <c r="K44" s="84">
        <v>33</v>
      </c>
      <c r="L44" s="62">
        <f t="shared" si="27"/>
        <v>161.03243201551928</v>
      </c>
      <c r="M44" s="62">
        <f t="shared" si="28"/>
        <v>265.7035128256066</v>
      </c>
      <c r="N44" s="62">
        <f t="shared" si="15"/>
        <v>-104.67108081008732</v>
      </c>
      <c r="O44" s="64"/>
      <c r="P44" s="106"/>
      <c r="Q44" s="65">
        <f t="shared" si="29"/>
        <v>1.6103243201551924</v>
      </c>
      <c r="S44" s="443">
        <f t="shared" si="6"/>
        <v>2679.9019925455264</v>
      </c>
    </row>
    <row r="45" spans="2:19" ht="12.75">
      <c r="B45" s="84">
        <v>34</v>
      </c>
      <c r="C45" s="62">
        <f t="shared" si="24"/>
        <v>4417.357690864237</v>
      </c>
      <c r="D45" s="62">
        <f t="shared" si="25"/>
        <v>1493.5559638408422</v>
      </c>
      <c r="E45" s="62">
        <f t="shared" si="23"/>
        <v>2923.801727023395</v>
      </c>
      <c r="F45" s="64"/>
      <c r="G45" s="106"/>
      <c r="H45" s="65">
        <f t="shared" si="26"/>
        <v>5.003188542033787</v>
      </c>
      <c r="K45" s="84">
        <v>34</v>
      </c>
      <c r="L45" s="62">
        <f t="shared" si="27"/>
        <v>163.44791849575208</v>
      </c>
      <c r="M45" s="62">
        <f t="shared" si="28"/>
        <v>269.6890655179907</v>
      </c>
      <c r="N45" s="62">
        <f t="shared" si="15"/>
        <v>-106.24114702223861</v>
      </c>
      <c r="O45" s="64"/>
      <c r="P45" s="106"/>
      <c r="Q45" s="65">
        <f t="shared" si="29"/>
        <v>1.6344791849575204</v>
      </c>
      <c r="S45" s="443">
        <f t="shared" si="6"/>
        <v>2817.5605800011563</v>
      </c>
    </row>
    <row r="46" spans="2:19" ht="12.75">
      <c r="B46" s="84">
        <v>35</v>
      </c>
      <c r="C46" s="62">
        <f t="shared" si="24"/>
        <v>4638.225575407449</v>
      </c>
      <c r="D46" s="62">
        <f t="shared" si="25"/>
        <v>1568.2337620328842</v>
      </c>
      <c r="E46" s="62">
        <f t="shared" si="23"/>
        <v>3069.991813374564</v>
      </c>
      <c r="F46" s="64"/>
      <c r="G46" s="106"/>
      <c r="H46" s="65">
        <f t="shared" si="26"/>
        <v>5.2533479691354765</v>
      </c>
      <c r="K46" s="84">
        <v>35</v>
      </c>
      <c r="L46" s="62">
        <f t="shared" si="27"/>
        <v>165.89963727318835</v>
      </c>
      <c r="M46" s="62">
        <f t="shared" si="28"/>
        <v>273.73440150076055</v>
      </c>
      <c r="N46" s="62">
        <f t="shared" si="15"/>
        <v>-107.83476422757221</v>
      </c>
      <c r="O46" s="64"/>
      <c r="P46" s="106"/>
      <c r="Q46" s="65">
        <f t="shared" si="29"/>
        <v>1.6589963727318833</v>
      </c>
      <c r="S46" s="443">
        <f t="shared" si="6"/>
        <v>2962.157049146992</v>
      </c>
    </row>
    <row r="47" spans="2:19" ht="12.75">
      <c r="B47" s="84">
        <v>36</v>
      </c>
      <c r="C47" s="62">
        <f t="shared" si="24"/>
        <v>4870.136854177821</v>
      </c>
      <c r="D47" s="62">
        <f t="shared" si="25"/>
        <v>1646.6454501345283</v>
      </c>
      <c r="E47" s="62">
        <f t="shared" si="23"/>
        <v>3223.4914040432927</v>
      </c>
      <c r="F47" s="64"/>
      <c r="G47" s="106"/>
      <c r="H47" s="65">
        <f t="shared" si="26"/>
        <v>5.51601536759225</v>
      </c>
      <c r="K47" s="84">
        <v>36</v>
      </c>
      <c r="L47" s="62">
        <f t="shared" si="27"/>
        <v>168.38813183228618</v>
      </c>
      <c r="M47" s="62">
        <f t="shared" si="28"/>
        <v>277.840417523272</v>
      </c>
      <c r="N47" s="62">
        <f t="shared" si="15"/>
        <v>-109.4522856909858</v>
      </c>
      <c r="O47" s="64"/>
      <c r="P47" s="106"/>
      <c r="Q47" s="65">
        <f t="shared" si="29"/>
        <v>1.6838813183228616</v>
      </c>
      <c r="S47" s="443">
        <f t="shared" si="6"/>
        <v>3114.039118352307</v>
      </c>
    </row>
    <row r="48" spans="2:19" ht="12.75">
      <c r="B48" s="84">
        <v>37</v>
      </c>
      <c r="C48" s="62">
        <f t="shared" si="24"/>
        <v>5113.643696886712</v>
      </c>
      <c r="D48" s="62">
        <f t="shared" si="25"/>
        <v>1728.9777226412548</v>
      </c>
      <c r="E48" s="62">
        <f t="shared" si="23"/>
        <v>3384.665974245457</v>
      </c>
      <c r="F48" s="64"/>
      <c r="G48" s="106"/>
      <c r="H48" s="65">
        <f t="shared" si="26"/>
        <v>5.791816135971863</v>
      </c>
      <c r="K48" s="84">
        <v>37</v>
      </c>
      <c r="L48" s="62">
        <f t="shared" si="27"/>
        <v>170.91395380977048</v>
      </c>
      <c r="M48" s="62">
        <f t="shared" si="28"/>
        <v>282.00802378612104</v>
      </c>
      <c r="N48" s="62">
        <f t="shared" si="15"/>
        <v>-111.09406997635057</v>
      </c>
      <c r="O48" s="64"/>
      <c r="P48" s="106"/>
      <c r="Q48" s="65">
        <f t="shared" si="29"/>
        <v>1.7091395380977046</v>
      </c>
      <c r="S48" s="443">
        <f t="shared" si="6"/>
        <v>3273.5719042691067</v>
      </c>
    </row>
    <row r="49" spans="2:19" ht="12.75">
      <c r="B49" s="84">
        <v>38</v>
      </c>
      <c r="C49" s="62">
        <f t="shared" si="24"/>
        <v>5369.325881731048</v>
      </c>
      <c r="D49" s="62">
        <f t="shared" si="25"/>
        <v>1815.4266087733176</v>
      </c>
      <c r="E49" s="62">
        <f t="shared" si="23"/>
        <v>3553.8992729577303</v>
      </c>
      <c r="F49" s="64"/>
      <c r="G49" s="106"/>
      <c r="H49" s="65">
        <f t="shared" si="26"/>
        <v>6.081406942770456</v>
      </c>
      <c r="K49" s="84">
        <v>38</v>
      </c>
      <c r="L49" s="62">
        <f t="shared" si="27"/>
        <v>173.47766311691703</v>
      </c>
      <c r="M49" s="62">
        <f t="shared" si="28"/>
        <v>286.23814414291286</v>
      </c>
      <c r="N49" s="62">
        <f t="shared" si="15"/>
        <v>-112.76048102599583</v>
      </c>
      <c r="O49" s="64"/>
      <c r="P49" s="106"/>
      <c r="Q49" s="65">
        <f t="shared" si="29"/>
        <v>1.7347766311691701</v>
      </c>
      <c r="S49" s="443">
        <f t="shared" si="6"/>
        <v>3441.1387919317344</v>
      </c>
    </row>
    <row r="50" spans="2:19" ht="12.75">
      <c r="B50" s="84">
        <v>39</v>
      </c>
      <c r="C50" s="62">
        <f t="shared" si="24"/>
        <v>5637.792175817601</v>
      </c>
      <c r="D50" s="62">
        <f t="shared" si="25"/>
        <v>1906.1979392119836</v>
      </c>
      <c r="E50" s="62">
        <f t="shared" si="23"/>
        <v>3731.594236605617</v>
      </c>
      <c r="F50" s="64"/>
      <c r="G50" s="106"/>
      <c r="H50" s="65">
        <f t="shared" si="26"/>
        <v>6.3854772899089784</v>
      </c>
      <c r="K50" s="84">
        <v>39</v>
      </c>
      <c r="L50" s="62">
        <f t="shared" si="27"/>
        <v>176.0798280636708</v>
      </c>
      <c r="M50" s="62">
        <f t="shared" si="28"/>
        <v>290.53171630505653</v>
      </c>
      <c r="N50" s="62">
        <f t="shared" si="15"/>
        <v>-114.45188824138575</v>
      </c>
      <c r="O50" s="64"/>
      <c r="P50" s="106"/>
      <c r="Q50" s="65">
        <f t="shared" si="29"/>
        <v>1.7607982806367077</v>
      </c>
      <c r="S50" s="443">
        <f t="shared" si="6"/>
        <v>3617.142348364231</v>
      </c>
    </row>
    <row r="51" spans="2:19" ht="13.5" thickBot="1">
      <c r="B51" s="84">
        <v>40</v>
      </c>
      <c r="C51" s="63">
        <f t="shared" si="24"/>
        <v>5919.6817846084805</v>
      </c>
      <c r="D51" s="63">
        <f t="shared" si="25"/>
        <v>2001.5078361725828</v>
      </c>
      <c r="E51" s="63">
        <f t="shared" si="23"/>
        <v>3918.1739484358977</v>
      </c>
      <c r="F51" s="64"/>
      <c r="G51" s="106"/>
      <c r="H51" s="65">
        <f t="shared" si="26"/>
        <v>6.704751154404427</v>
      </c>
      <c r="K51" s="84">
        <v>40</v>
      </c>
      <c r="L51" s="63">
        <f t="shared" si="27"/>
        <v>178.72102548462584</v>
      </c>
      <c r="M51" s="63">
        <f t="shared" si="28"/>
        <v>294.8896920496324</v>
      </c>
      <c r="N51" s="63">
        <f t="shared" si="15"/>
        <v>-116.16866656500656</v>
      </c>
      <c r="O51" s="64"/>
      <c r="P51" s="106"/>
      <c r="Q51" s="65">
        <f t="shared" si="29"/>
        <v>1.7872102548462583</v>
      </c>
      <c r="S51" s="443">
        <f t="shared" si="6"/>
        <v>3802.005281870891</v>
      </c>
    </row>
    <row r="52" spans="2:19" ht="12.75">
      <c r="B52" s="88" t="s">
        <v>110</v>
      </c>
      <c r="C52" s="89">
        <f>SUM(C41:C51)</f>
        <v>106655.14747677806</v>
      </c>
      <c r="D52" s="89">
        <f>SUM(D41:D51)</f>
        <v>36061.24808903601</v>
      </c>
      <c r="E52" s="89">
        <f t="shared" si="23"/>
        <v>70593.89938774204</v>
      </c>
      <c r="F52" s="88" t="s">
        <v>215</v>
      </c>
      <c r="G52" s="249">
        <f>SUM(G9:G41)</f>
        <v>5.125715208799746</v>
      </c>
      <c r="K52" s="88" t="s">
        <v>110</v>
      </c>
      <c r="L52" s="89">
        <f>SUM(L41:L51)</f>
        <v>5426.789391126344</v>
      </c>
      <c r="M52" s="89">
        <f>SUM(M41:M51)</f>
        <v>8954.202495358462</v>
      </c>
      <c r="N52" s="89">
        <f t="shared" si="15"/>
        <v>-3527.4131042321187</v>
      </c>
      <c r="O52" s="88" t="s">
        <v>215</v>
      </c>
      <c r="P52" s="249">
        <f>SUM(P9:P41)</f>
        <v>3.477744900869757</v>
      </c>
      <c r="S52" s="443">
        <f t="shared" si="6"/>
        <v>67066.48628350992</v>
      </c>
    </row>
    <row r="53" spans="2:19" ht="12.75">
      <c r="B53" s="84">
        <v>41</v>
      </c>
      <c r="C53" s="62">
        <f>C51+C51*E$5</f>
        <v>6215.665873838904</v>
      </c>
      <c r="D53" s="62">
        <f>D51+D51*E$5</f>
        <v>2101.583227981212</v>
      </c>
      <c r="E53" s="62">
        <f aca="true" t="shared" si="30" ref="E53:E63">C53-D53</f>
        <v>4114.082645857692</v>
      </c>
      <c r="F53" s="64"/>
      <c r="G53" s="106"/>
      <c r="H53" s="65">
        <f>H51+H51*E$5</f>
        <v>7.039988712124648</v>
      </c>
      <c r="K53" s="84">
        <v>41</v>
      </c>
      <c r="L53" s="62">
        <f>L51+L51*N$5</f>
        <v>181.40184086689524</v>
      </c>
      <c r="M53" s="62">
        <f>M51+M51*N$5</f>
        <v>299.3130374303769</v>
      </c>
      <c r="N53" s="62">
        <f t="shared" si="15"/>
        <v>-117.91119656348164</v>
      </c>
      <c r="O53" s="64"/>
      <c r="P53" s="106"/>
      <c r="Q53" s="65">
        <f>Q51+Q51*N$5</f>
        <v>1.8140184086689521</v>
      </c>
      <c r="S53" s="443">
        <f t="shared" si="6"/>
        <v>3996.1714492942106</v>
      </c>
    </row>
    <row r="54" spans="2:19" ht="12.75">
      <c r="B54" s="84">
        <v>42</v>
      </c>
      <c r="C54" s="62">
        <f aca="true" t="shared" si="31" ref="C54:C62">C53+C53*E$5</f>
        <v>6526.449167530849</v>
      </c>
      <c r="D54" s="62">
        <f aca="true" t="shared" si="32" ref="D54:D62">D53+D53*E$5</f>
        <v>2206.6623893802725</v>
      </c>
      <c r="E54" s="62">
        <f t="shared" si="30"/>
        <v>4319.7867781505765</v>
      </c>
      <c r="F54" s="64"/>
      <c r="G54" s="106"/>
      <c r="H54" s="65">
        <f aca="true" t="shared" si="33" ref="H54:H62">H53+H53*E$5</f>
        <v>7.39198814773088</v>
      </c>
      <c r="K54" s="84">
        <v>42</v>
      </c>
      <c r="L54" s="62">
        <f aca="true" t="shared" si="34" ref="L54:L62">L53+L53*N$5</f>
        <v>184.12286847989867</v>
      </c>
      <c r="M54" s="62">
        <f aca="true" t="shared" si="35" ref="M54:M62">M53+M53*N$5</f>
        <v>303.80273299183256</v>
      </c>
      <c r="N54" s="62">
        <f t="shared" si="15"/>
        <v>-119.67986451193389</v>
      </c>
      <c r="O54" s="64"/>
      <c r="P54" s="106"/>
      <c r="Q54" s="65">
        <f aca="true" t="shared" si="36" ref="Q54:Q62">Q53+Q53*N$5</f>
        <v>1.8412286847989865</v>
      </c>
      <c r="S54" s="443">
        <f t="shared" si="6"/>
        <v>4200.106913638642</v>
      </c>
    </row>
    <row r="55" spans="2:19" ht="12.75">
      <c r="B55" s="84">
        <v>43</v>
      </c>
      <c r="C55" s="62">
        <f t="shared" si="31"/>
        <v>6852.771625907391</v>
      </c>
      <c r="D55" s="62">
        <f t="shared" si="32"/>
        <v>2316.995508849286</v>
      </c>
      <c r="E55" s="62">
        <f t="shared" si="30"/>
        <v>4535.776117058105</v>
      </c>
      <c r="F55" s="64"/>
      <c r="G55" s="106"/>
      <c r="H55" s="65">
        <f t="shared" si="33"/>
        <v>7.7615875551174245</v>
      </c>
      <c r="K55" s="84">
        <v>43</v>
      </c>
      <c r="L55" s="62">
        <f t="shared" si="34"/>
        <v>186.88471150709714</v>
      </c>
      <c r="M55" s="62">
        <f t="shared" si="35"/>
        <v>308.35977398671</v>
      </c>
      <c r="N55" s="62">
        <f t="shared" si="15"/>
        <v>-121.47506247961289</v>
      </c>
      <c r="O55" s="64"/>
      <c r="P55" s="106"/>
      <c r="Q55" s="65">
        <f t="shared" si="36"/>
        <v>1.8688471150709713</v>
      </c>
      <c r="S55" s="443">
        <f t="shared" si="6"/>
        <v>4414.301054578493</v>
      </c>
    </row>
    <row r="56" spans="2:19" ht="12.75">
      <c r="B56" s="84">
        <v>44</v>
      </c>
      <c r="C56" s="62">
        <f t="shared" si="31"/>
        <v>7195.410207202761</v>
      </c>
      <c r="D56" s="62">
        <f t="shared" si="32"/>
        <v>2432.8452842917504</v>
      </c>
      <c r="E56" s="62">
        <f t="shared" si="30"/>
        <v>4762.56492291101</v>
      </c>
      <c r="F56" s="64"/>
      <c r="G56" s="106"/>
      <c r="H56" s="65">
        <f t="shared" si="33"/>
        <v>8.149666932873295</v>
      </c>
      <c r="K56" s="84">
        <v>44</v>
      </c>
      <c r="L56" s="62">
        <f t="shared" si="34"/>
        <v>189.6879821797036</v>
      </c>
      <c r="M56" s="62">
        <f t="shared" si="35"/>
        <v>312.98517059651067</v>
      </c>
      <c r="N56" s="62">
        <f t="shared" si="15"/>
        <v>-123.29718841680707</v>
      </c>
      <c r="O56" s="64"/>
      <c r="P56" s="106"/>
      <c r="Q56" s="65">
        <f t="shared" si="36"/>
        <v>1.896879821797036</v>
      </c>
      <c r="S56" s="443">
        <f t="shared" si="6"/>
        <v>4639.267734494203</v>
      </c>
    </row>
    <row r="57" spans="2:19" ht="12.75">
      <c r="B57" s="84">
        <v>45</v>
      </c>
      <c r="C57" s="62">
        <f t="shared" si="31"/>
        <v>7555.180717562899</v>
      </c>
      <c r="D57" s="62">
        <f t="shared" si="32"/>
        <v>2554.487548506338</v>
      </c>
      <c r="E57" s="62">
        <f t="shared" si="30"/>
        <v>5000.693169056562</v>
      </c>
      <c r="F57" s="64"/>
      <c r="G57" s="106"/>
      <c r="H57" s="65">
        <f t="shared" si="33"/>
        <v>8.557150279516959</v>
      </c>
      <c r="K57" s="84">
        <v>45</v>
      </c>
      <c r="L57" s="62">
        <f t="shared" si="34"/>
        <v>192.53330191239914</v>
      </c>
      <c r="M57" s="62">
        <f t="shared" si="35"/>
        <v>317.6799481554583</v>
      </c>
      <c r="N57" s="62">
        <f t="shared" si="15"/>
        <v>-125.14664624305917</v>
      </c>
      <c r="O57" s="64"/>
      <c r="P57" s="106"/>
      <c r="Q57" s="65">
        <f t="shared" si="36"/>
        <v>1.9253330191239915</v>
      </c>
      <c r="S57" s="443">
        <f t="shared" si="6"/>
        <v>4875.546522813503</v>
      </c>
    </row>
    <row r="58" spans="2:19" ht="12.75">
      <c r="B58" s="84">
        <v>46</v>
      </c>
      <c r="C58" s="62">
        <f t="shared" si="31"/>
        <v>7932.939753441045</v>
      </c>
      <c r="D58" s="62">
        <f t="shared" si="32"/>
        <v>2682.211925931655</v>
      </c>
      <c r="E58" s="62">
        <f t="shared" si="30"/>
        <v>5250.7278275093895</v>
      </c>
      <c r="F58" s="64"/>
      <c r="G58" s="106"/>
      <c r="H58" s="65">
        <f t="shared" si="33"/>
        <v>8.985007793492807</v>
      </c>
      <c r="K58" s="84">
        <v>46</v>
      </c>
      <c r="L58" s="62">
        <f t="shared" si="34"/>
        <v>195.42130144108512</v>
      </c>
      <c r="M58" s="62">
        <f t="shared" si="35"/>
        <v>322.4451473777902</v>
      </c>
      <c r="N58" s="62">
        <f t="shared" si="15"/>
        <v>-127.02384593670507</v>
      </c>
      <c r="O58" s="64"/>
      <c r="P58" s="106"/>
      <c r="Q58" s="65">
        <f t="shared" si="36"/>
        <v>1.9542130144108514</v>
      </c>
      <c r="S58" s="443">
        <f t="shared" si="6"/>
        <v>5123.703981572685</v>
      </c>
    </row>
    <row r="59" spans="2:19" ht="12.75">
      <c r="B59" s="84">
        <v>47</v>
      </c>
      <c r="C59" s="62">
        <f t="shared" si="31"/>
        <v>8329.586741113097</v>
      </c>
      <c r="D59" s="62">
        <f t="shared" si="32"/>
        <v>2816.3225222282376</v>
      </c>
      <c r="E59" s="62">
        <f t="shared" si="30"/>
        <v>5513.264218884859</v>
      </c>
      <c r="F59" s="64"/>
      <c r="G59" s="106"/>
      <c r="H59" s="65">
        <f t="shared" si="33"/>
        <v>9.434258183167447</v>
      </c>
      <c r="K59" s="84">
        <v>47</v>
      </c>
      <c r="L59" s="62">
        <f t="shared" si="34"/>
        <v>198.3526209627014</v>
      </c>
      <c r="M59" s="62">
        <f t="shared" si="35"/>
        <v>327.281824588457</v>
      </c>
      <c r="N59" s="62">
        <f t="shared" si="15"/>
        <v>-128.92920362575563</v>
      </c>
      <c r="O59" s="64"/>
      <c r="P59" s="106"/>
      <c r="Q59" s="65">
        <f t="shared" si="36"/>
        <v>1.983526209627014</v>
      </c>
      <c r="S59" s="443">
        <f t="shared" si="6"/>
        <v>5384.335015259103</v>
      </c>
    </row>
    <row r="60" spans="2:19" ht="12.75">
      <c r="B60" s="84">
        <v>48</v>
      </c>
      <c r="C60" s="62">
        <f t="shared" si="31"/>
        <v>8746.066078168751</v>
      </c>
      <c r="D60" s="62">
        <f t="shared" si="32"/>
        <v>2957.1386483396495</v>
      </c>
      <c r="E60" s="62">
        <f t="shared" si="30"/>
        <v>5788.927429829102</v>
      </c>
      <c r="F60" s="64"/>
      <c r="G60" s="106"/>
      <c r="H60" s="65">
        <f t="shared" si="33"/>
        <v>9.905971092325819</v>
      </c>
      <c r="K60" s="84">
        <v>48</v>
      </c>
      <c r="L60" s="62">
        <f t="shared" si="34"/>
        <v>201.3279102771419</v>
      </c>
      <c r="M60" s="62">
        <f t="shared" si="35"/>
        <v>332.1910519572839</v>
      </c>
      <c r="N60" s="62">
        <f t="shared" si="15"/>
        <v>-130.86314168014198</v>
      </c>
      <c r="O60" s="64"/>
      <c r="P60" s="106"/>
      <c r="Q60" s="65">
        <f t="shared" si="36"/>
        <v>2.013279102771419</v>
      </c>
      <c r="S60" s="443">
        <f t="shared" si="6"/>
        <v>5658.06428814896</v>
      </c>
    </row>
    <row r="61" spans="2:19" ht="12.75">
      <c r="B61" s="84">
        <v>49</v>
      </c>
      <c r="C61" s="62">
        <f t="shared" si="31"/>
        <v>9183.369382077188</v>
      </c>
      <c r="D61" s="62">
        <f t="shared" si="32"/>
        <v>3104.995580756632</v>
      </c>
      <c r="E61" s="62">
        <f t="shared" si="30"/>
        <v>6078.373801320556</v>
      </c>
      <c r="F61" s="64"/>
      <c r="G61" s="106"/>
      <c r="H61" s="65">
        <f t="shared" si="33"/>
        <v>10.40126964694211</v>
      </c>
      <c r="K61" s="84">
        <v>49</v>
      </c>
      <c r="L61" s="62">
        <f t="shared" si="34"/>
        <v>204.34782893129903</v>
      </c>
      <c r="M61" s="62">
        <f t="shared" si="35"/>
        <v>337.17391773664315</v>
      </c>
      <c r="N61" s="62">
        <f t="shared" si="15"/>
        <v>-132.8260888053441</v>
      </c>
      <c r="O61" s="64"/>
      <c r="P61" s="106"/>
      <c r="Q61" s="65">
        <f t="shared" si="36"/>
        <v>2.0434782893129904</v>
      </c>
      <c r="S61" s="443">
        <f t="shared" si="6"/>
        <v>5945.547712515212</v>
      </c>
    </row>
    <row r="62" spans="2:19" ht="13.5" thickBot="1">
      <c r="B62" s="84">
        <v>50</v>
      </c>
      <c r="C62" s="63">
        <f t="shared" si="31"/>
        <v>9642.537851181047</v>
      </c>
      <c r="D62" s="63">
        <f t="shared" si="32"/>
        <v>3260.2453597944636</v>
      </c>
      <c r="E62" s="63">
        <f t="shared" si="30"/>
        <v>6382.292491386583</v>
      </c>
      <c r="F62" s="64"/>
      <c r="G62" s="106"/>
      <c r="H62" s="65">
        <f t="shared" si="33"/>
        <v>10.921333129289215</v>
      </c>
      <c r="K62" s="84">
        <v>50</v>
      </c>
      <c r="L62" s="63">
        <f t="shared" si="34"/>
        <v>207.4130463652685</v>
      </c>
      <c r="M62" s="63">
        <f t="shared" si="35"/>
        <v>342.2315265026928</v>
      </c>
      <c r="N62" s="63">
        <f t="shared" si="15"/>
        <v>-134.8184801374243</v>
      </c>
      <c r="O62" s="64"/>
      <c r="P62" s="106"/>
      <c r="Q62" s="65">
        <f t="shared" si="36"/>
        <v>2.0741304636526854</v>
      </c>
      <c r="S62" s="443">
        <f t="shared" si="6"/>
        <v>6247.474011249158</v>
      </c>
    </row>
    <row r="63" spans="2:19" ht="12.75">
      <c r="B63" s="88" t="s">
        <v>111</v>
      </c>
      <c r="C63" s="68">
        <f>SUM(C52:C62)</f>
        <v>184835.12487480204</v>
      </c>
      <c r="D63" s="68">
        <f>SUM(D52:D62)</f>
        <v>62494.736085095494</v>
      </c>
      <c r="E63" s="68">
        <f t="shared" si="30"/>
        <v>122340.38878970654</v>
      </c>
      <c r="F63" s="88" t="s">
        <v>216</v>
      </c>
      <c r="G63" s="249">
        <f>SUM(G9:G52)</f>
        <v>10.251430417599492</v>
      </c>
      <c r="K63" s="88" t="s">
        <v>111</v>
      </c>
      <c r="L63" s="68">
        <f>SUM(L52:L62)</f>
        <v>7368.282804049834</v>
      </c>
      <c r="M63" s="68">
        <f>SUM(M52:M62)</f>
        <v>12157.66662668222</v>
      </c>
      <c r="N63" s="68">
        <f t="shared" si="15"/>
        <v>-4789.383822632385</v>
      </c>
      <c r="O63" s="88" t="s">
        <v>216</v>
      </c>
      <c r="P63" s="249">
        <f>SUM(P9:P52)</f>
        <v>6.955489801739514</v>
      </c>
      <c r="S63" s="443">
        <f t="shared" si="6"/>
        <v>117551.00496707416</v>
      </c>
    </row>
  </sheetData>
  <sheetProtection password="A388" sheet="1" objects="1" scenarios="1" selectLockedCells="1" selectUnlockedCells="1"/>
  <mergeCells count="5">
    <mergeCell ref="B2:G2"/>
    <mergeCell ref="F7:G8"/>
    <mergeCell ref="K2:P2"/>
    <mergeCell ref="O7:P8"/>
    <mergeCell ref="K3:P3"/>
  </mergeCells>
  <printOptions/>
  <pageMargins left="1.1479166666666667" right="0.23622047244094488" top="0.23622047244094488" bottom="0.4330708661417323" header="0" footer="0"/>
  <pageSetup horizontalDpi="600" verticalDpi="600" orientation="portrait" paperSize="9" scale="95" r:id="rId1"/>
  <headerFooter alignWithMargins="0">
    <oddFooter>&amp;C&amp;9Architekt Ambrosius . Am Gretchenweg 6 . 24404 Maasholm . Tel.: 04246 / 969220 . info@Architekt-A.de . www.Archtekt-A.de
&amp;R&amp;9Kostenvergleich/&amp;A &amp;D</oddFooter>
  </headerFooter>
</worksheet>
</file>

<file path=xl/worksheets/sheet7.xml><?xml version="1.0" encoding="utf-8"?>
<worksheet xmlns="http://schemas.openxmlformats.org/spreadsheetml/2006/main" xmlns:r="http://schemas.openxmlformats.org/officeDocument/2006/relationships">
  <dimension ref="A1:S55"/>
  <sheetViews>
    <sheetView showGridLines="0" showRowColHeaders="0" zoomScaleSheetLayoutView="100" zoomScalePageLayoutView="0" workbookViewId="0" topLeftCell="A1">
      <selection activeCell="A1" sqref="A1"/>
    </sheetView>
  </sheetViews>
  <sheetFormatPr defaultColWidth="11.421875" defaultRowHeight="12.75"/>
  <cols>
    <col min="1" max="1" width="5.28125" style="0" customWidth="1"/>
    <col min="2" max="3" width="19.28125" style="0" customWidth="1"/>
    <col min="4" max="4" width="19.28125" style="0" bestFit="1" customWidth="1"/>
    <col min="5" max="5" width="19.28125" style="0" customWidth="1"/>
    <col min="6" max="6" width="5.8515625" style="0" customWidth="1"/>
  </cols>
  <sheetData>
    <row r="1" spans="1:17" ht="12.75">
      <c r="A1" s="18"/>
      <c r="B1" s="18"/>
      <c r="C1" s="18"/>
      <c r="D1" s="18"/>
      <c r="E1" s="18"/>
      <c r="G1" s="61"/>
      <c r="H1" s="61"/>
      <c r="I1" s="61"/>
      <c r="J1" s="61"/>
      <c r="K1" s="61"/>
      <c r="L1" s="61"/>
      <c r="M1" s="61"/>
      <c r="N1" s="61"/>
      <c r="O1" s="61"/>
      <c r="P1" s="61"/>
      <c r="Q1" s="61"/>
    </row>
    <row r="2" spans="1:19" ht="15.75">
      <c r="A2" s="18"/>
      <c r="B2" s="613" t="s">
        <v>105</v>
      </c>
      <c r="C2" s="614"/>
      <c r="D2" s="614"/>
      <c r="E2" s="615"/>
      <c r="F2" s="60"/>
      <c r="G2" s="61"/>
      <c r="H2" s="61"/>
      <c r="I2" s="13"/>
      <c r="J2" s="13"/>
      <c r="K2" s="13"/>
      <c r="L2" s="13"/>
      <c r="M2" s="13"/>
      <c r="N2" s="13"/>
      <c r="O2" s="13"/>
      <c r="P2" s="13"/>
      <c r="Q2" s="13"/>
      <c r="R2" s="13"/>
      <c r="S2" s="13"/>
    </row>
    <row r="3" spans="1:19" ht="12.75">
      <c r="A3" s="18"/>
      <c r="B3" s="18"/>
      <c r="C3" s="18"/>
      <c r="D3" s="18"/>
      <c r="E3" s="18"/>
      <c r="F3" s="60"/>
      <c r="G3" s="61"/>
      <c r="H3" s="61"/>
      <c r="I3" s="13"/>
      <c r="J3" s="13"/>
      <c r="K3" s="13"/>
      <c r="L3" s="13"/>
      <c r="M3" s="13"/>
      <c r="N3" s="13"/>
      <c r="O3" s="13"/>
      <c r="P3" s="13"/>
      <c r="Q3" s="13"/>
      <c r="R3" s="13"/>
      <c r="S3" s="13"/>
    </row>
    <row r="4" spans="1:19" ht="12.75">
      <c r="A4" s="18"/>
      <c r="B4" s="260"/>
      <c r="C4" s="266" t="s">
        <v>59</v>
      </c>
      <c r="D4" s="622" t="s">
        <v>60</v>
      </c>
      <c r="E4" s="623"/>
      <c r="F4" s="60"/>
      <c r="G4" s="61"/>
      <c r="H4" s="61"/>
      <c r="I4" s="13"/>
      <c r="J4" s="13"/>
      <c r="K4" s="13"/>
      <c r="L4" s="13"/>
      <c r="M4" s="13"/>
      <c r="N4" s="13"/>
      <c r="O4" s="13"/>
      <c r="P4" s="13"/>
      <c r="Q4" s="13"/>
      <c r="R4" s="13"/>
      <c r="S4" s="13"/>
    </row>
    <row r="5" spans="1:19" ht="12.75">
      <c r="A5" s="18"/>
      <c r="B5" s="248"/>
      <c r="C5" s="264" t="s">
        <v>47</v>
      </c>
      <c r="D5" s="84" t="s">
        <v>50</v>
      </c>
      <c r="E5" s="265" t="s">
        <v>43</v>
      </c>
      <c r="F5" s="60"/>
      <c r="G5" s="61"/>
      <c r="H5" s="61"/>
      <c r="I5" s="13"/>
      <c r="J5" s="13"/>
      <c r="K5" s="13"/>
      <c r="L5" s="13"/>
      <c r="M5" s="13"/>
      <c r="N5" s="13"/>
      <c r="O5" s="13"/>
      <c r="P5" s="13"/>
      <c r="Q5" s="13"/>
      <c r="R5" s="13"/>
      <c r="S5" s="13"/>
    </row>
    <row r="6" spans="1:19" ht="12.75">
      <c r="A6" s="18"/>
      <c r="B6" s="260"/>
      <c r="C6" s="82"/>
      <c r="D6" s="250"/>
      <c r="E6" s="250"/>
      <c r="F6" s="60"/>
      <c r="G6" s="61"/>
      <c r="H6" s="61"/>
      <c r="I6" s="14"/>
      <c r="J6" s="13"/>
      <c r="K6" s="13"/>
      <c r="L6" s="13"/>
      <c r="M6" s="13"/>
      <c r="N6" s="13"/>
      <c r="O6" s="13"/>
      <c r="P6" s="13"/>
      <c r="Q6" s="13"/>
      <c r="R6" s="13"/>
      <c r="S6" s="13"/>
    </row>
    <row r="7" spans="1:19" ht="12.75">
      <c r="A7" s="18"/>
      <c r="B7" s="84" t="s">
        <v>40</v>
      </c>
      <c r="C7" s="81">
        <f>Darlehen!G5</f>
        <v>397637.5</v>
      </c>
      <c r="D7" s="256">
        <f>Detailergebnis!I33-Detailergebnis!J8</f>
        <v>339187.5</v>
      </c>
      <c r="E7" s="251">
        <f>Detailergebnis!J8</f>
        <v>100000</v>
      </c>
      <c r="F7" s="60"/>
      <c r="G7" s="61"/>
      <c r="H7" s="61"/>
      <c r="I7" s="14"/>
      <c r="J7" s="13"/>
      <c r="K7" s="13"/>
      <c r="L7" s="13"/>
      <c r="M7" s="13"/>
      <c r="N7" s="13"/>
      <c r="O7" s="13"/>
      <c r="P7" s="13"/>
      <c r="Q7" s="13"/>
      <c r="R7" s="13"/>
      <c r="S7" s="13"/>
    </row>
    <row r="8" spans="1:19" ht="12.75">
      <c r="A8" s="18"/>
      <c r="B8" s="84" t="s">
        <v>44</v>
      </c>
      <c r="C8" s="22">
        <f>PMT(-C9/-12,C10,-C7,-C11)</f>
        <v>2107.0926162810333</v>
      </c>
      <c r="D8" s="267">
        <f>C8-E8</f>
        <v>1658.2650414167892</v>
      </c>
      <c r="E8" s="252">
        <f>PMT(-E9/-12,E10,-E7,-E11)</f>
        <v>448.82757486424396</v>
      </c>
      <c r="F8" s="60"/>
      <c r="G8" s="61"/>
      <c r="H8" s="61"/>
      <c r="I8" s="15"/>
      <c r="J8" s="13"/>
      <c r="K8" s="13"/>
      <c r="L8" s="13"/>
      <c r="M8" s="13"/>
      <c r="N8" s="13"/>
      <c r="O8" s="13"/>
      <c r="P8" s="13"/>
      <c r="Q8" s="13"/>
      <c r="R8" s="13"/>
      <c r="S8" s="13"/>
    </row>
    <row r="9" spans="1:19" ht="12.75">
      <c r="A9" s="18"/>
      <c r="B9" s="84" t="s">
        <v>41</v>
      </c>
      <c r="C9" s="77">
        <f>Darlehen!E5/100</f>
        <v>0.025</v>
      </c>
      <c r="D9" s="268">
        <f>Darlehen!E5/100</f>
        <v>0.025</v>
      </c>
      <c r="E9" s="253">
        <f>Detailergebnis!I36</f>
        <v>0.0075</v>
      </c>
      <c r="F9" s="60"/>
      <c r="G9" s="61"/>
      <c r="H9" s="61"/>
      <c r="I9" s="16"/>
      <c r="J9" s="13"/>
      <c r="K9" s="13"/>
      <c r="L9" s="13"/>
      <c r="M9" s="13"/>
      <c r="N9" s="13"/>
      <c r="O9" s="13"/>
      <c r="P9" s="13"/>
      <c r="Q9" s="13"/>
      <c r="R9" s="13"/>
      <c r="S9" s="13"/>
    </row>
    <row r="10" spans="1:19" ht="27" customHeight="1">
      <c r="A10" s="18"/>
      <c r="B10" s="261" t="s">
        <v>103</v>
      </c>
      <c r="C10" s="78">
        <f>Detailergebnis!J5*12</f>
        <v>240</v>
      </c>
      <c r="D10" s="269">
        <f>Detailergebnis!J5*12</f>
        <v>240</v>
      </c>
      <c r="E10" s="254">
        <f>Detailergebnis!J5*12</f>
        <v>240</v>
      </c>
      <c r="F10" s="60"/>
      <c r="G10" s="61"/>
      <c r="H10" s="61"/>
      <c r="I10" s="14"/>
      <c r="J10" s="13"/>
      <c r="K10" s="13"/>
      <c r="L10" s="13"/>
      <c r="M10" s="13"/>
      <c r="N10" s="13"/>
      <c r="O10" s="13"/>
      <c r="P10" s="13"/>
      <c r="Q10" s="13"/>
      <c r="R10" s="13"/>
      <c r="S10" s="13"/>
    </row>
    <row r="11" spans="1:19" ht="12.75">
      <c r="A11" s="18"/>
      <c r="B11" s="84" t="s">
        <v>42</v>
      </c>
      <c r="C11" s="79">
        <v>0</v>
      </c>
      <c r="D11" s="270">
        <v>0</v>
      </c>
      <c r="E11" s="255">
        <v>0</v>
      </c>
      <c r="F11" s="60"/>
      <c r="G11" s="61"/>
      <c r="H11" s="61"/>
      <c r="I11" s="17"/>
      <c r="J11" s="13"/>
      <c r="K11" s="13"/>
      <c r="L11" s="13"/>
      <c r="M11" s="13"/>
      <c r="N11" s="13"/>
      <c r="O11" s="13"/>
      <c r="P11" s="13"/>
      <c r="Q11" s="13"/>
      <c r="R11" s="13"/>
      <c r="S11" s="13"/>
    </row>
    <row r="12" spans="1:19" ht="12.75">
      <c r="A12" s="18"/>
      <c r="B12" s="84" t="s">
        <v>45</v>
      </c>
      <c r="C12" s="80">
        <v>0</v>
      </c>
      <c r="D12" s="271">
        <f>Detailergebnis!I45</f>
        <v>966.1668044235038</v>
      </c>
      <c r="E12" s="256">
        <v>0</v>
      </c>
      <c r="F12" s="60"/>
      <c r="G12" s="61"/>
      <c r="H12" s="61"/>
      <c r="I12" s="13"/>
      <c r="J12" s="13"/>
      <c r="K12" s="13"/>
      <c r="L12" s="13"/>
      <c r="M12" s="13"/>
      <c r="N12" s="13"/>
      <c r="O12" s="13"/>
      <c r="P12" s="13"/>
      <c r="Q12" s="13"/>
      <c r="R12" s="13"/>
      <c r="S12" s="13"/>
    </row>
    <row r="13" spans="1:19" ht="12.75">
      <c r="A13" s="18"/>
      <c r="B13" s="262" t="s">
        <v>71</v>
      </c>
      <c r="C13" s="91">
        <v>0</v>
      </c>
      <c r="D13" s="272">
        <v>0</v>
      </c>
      <c r="E13" s="257">
        <f>E7*0.1</f>
        <v>10000</v>
      </c>
      <c r="F13" s="60"/>
      <c r="G13" s="61"/>
      <c r="H13" s="61"/>
      <c r="I13" s="13"/>
      <c r="J13" s="13"/>
      <c r="K13" s="13"/>
      <c r="L13" s="13"/>
      <c r="M13" s="13"/>
      <c r="N13" s="13"/>
      <c r="O13" s="13"/>
      <c r="P13" s="13"/>
      <c r="Q13" s="13"/>
      <c r="R13" s="13"/>
      <c r="S13" s="13"/>
    </row>
    <row r="14" spans="1:19" ht="27.75" customHeight="1">
      <c r="A14" s="18"/>
      <c r="B14" s="263" t="s">
        <v>104</v>
      </c>
      <c r="C14" s="258">
        <f>C10</f>
        <v>240</v>
      </c>
      <c r="D14" s="273">
        <f>Darlehen!P378</f>
        <v>247</v>
      </c>
      <c r="E14" s="259">
        <f>E10</f>
        <v>240</v>
      </c>
      <c r="F14" s="60"/>
      <c r="G14" s="61"/>
      <c r="H14" s="61"/>
      <c r="I14" s="13"/>
      <c r="J14" s="13"/>
      <c r="K14" s="13"/>
      <c r="L14" s="13"/>
      <c r="M14" s="13"/>
      <c r="N14" s="13"/>
      <c r="O14" s="13"/>
      <c r="P14" s="13"/>
      <c r="Q14" s="13"/>
      <c r="R14" s="13"/>
      <c r="S14" s="13"/>
    </row>
    <row r="15" spans="1:19" ht="12.75">
      <c r="A15" s="18"/>
      <c r="B15" s="18"/>
      <c r="C15" s="18"/>
      <c r="D15" s="18"/>
      <c r="E15" s="18"/>
      <c r="F15" s="18"/>
      <c r="G15" s="13"/>
      <c r="H15" s="13"/>
      <c r="I15" s="13"/>
      <c r="J15" s="13"/>
      <c r="K15" s="13"/>
      <c r="L15" s="13"/>
      <c r="M15" s="13"/>
      <c r="N15" s="13"/>
      <c r="O15" s="13"/>
      <c r="P15" s="13"/>
      <c r="Q15" s="13"/>
      <c r="R15" s="13"/>
      <c r="S15" s="13"/>
    </row>
    <row r="16" spans="1:19" ht="12.75">
      <c r="A16" s="18"/>
      <c r="B16" s="18"/>
      <c r="C16" s="18"/>
      <c r="D16" s="18"/>
      <c r="E16" s="18"/>
      <c r="F16" s="18"/>
      <c r="G16" s="13"/>
      <c r="H16" s="13"/>
      <c r="I16" s="13"/>
      <c r="J16" s="13"/>
      <c r="K16" s="13"/>
      <c r="L16" s="13"/>
      <c r="M16" s="13"/>
      <c r="N16" s="13"/>
      <c r="O16" s="13"/>
      <c r="P16" s="13"/>
      <c r="Q16" s="13"/>
      <c r="R16" s="13"/>
      <c r="S16" s="13"/>
    </row>
    <row r="17" spans="1:19" ht="12.75">
      <c r="A17" s="18"/>
      <c r="B17" s="18"/>
      <c r="C17" s="18"/>
      <c r="D17" s="18"/>
      <c r="E17" s="18"/>
      <c r="F17" s="18"/>
      <c r="G17" s="13"/>
      <c r="H17" s="13"/>
      <c r="I17" s="13"/>
      <c r="J17" s="13"/>
      <c r="K17" s="13"/>
      <c r="L17" s="13"/>
      <c r="M17" s="13"/>
      <c r="N17" s="13"/>
      <c r="O17" s="13"/>
      <c r="P17" s="13"/>
      <c r="Q17" s="13"/>
      <c r="R17" s="13"/>
      <c r="S17" s="13"/>
    </row>
    <row r="18" spans="1:19" ht="12.75">
      <c r="A18" s="18"/>
      <c r="B18" s="18"/>
      <c r="C18" s="18"/>
      <c r="D18" s="18"/>
      <c r="E18" s="18"/>
      <c r="F18" s="18"/>
      <c r="G18" s="13"/>
      <c r="H18" s="13"/>
      <c r="I18" s="13"/>
      <c r="J18" s="13"/>
      <c r="K18" s="13"/>
      <c r="L18" s="13"/>
      <c r="M18" s="13"/>
      <c r="N18" s="13"/>
      <c r="O18" s="13"/>
      <c r="P18" s="13"/>
      <c r="Q18" s="13"/>
      <c r="R18" s="13"/>
      <c r="S18" s="13"/>
    </row>
    <row r="19" spans="1:19" ht="12.75">
      <c r="A19" s="18"/>
      <c r="B19" s="18"/>
      <c r="C19" s="18"/>
      <c r="D19" s="18"/>
      <c r="E19" s="69"/>
      <c r="F19" s="18"/>
      <c r="G19" s="13"/>
      <c r="H19" s="13"/>
      <c r="I19" s="13"/>
      <c r="J19" s="13"/>
      <c r="K19" s="13"/>
      <c r="L19" s="13"/>
      <c r="M19" s="13"/>
      <c r="N19" s="13"/>
      <c r="O19" s="13"/>
      <c r="P19" s="13"/>
      <c r="Q19" s="13"/>
      <c r="R19" s="13"/>
      <c r="S19" s="13"/>
    </row>
    <row r="20" spans="1:19" ht="12.75">
      <c r="A20" s="18"/>
      <c r="B20" s="18"/>
      <c r="C20" s="18"/>
      <c r="D20" s="18"/>
      <c r="E20" s="18"/>
      <c r="F20" s="18"/>
      <c r="G20" s="13"/>
      <c r="H20" s="13"/>
      <c r="I20" s="13"/>
      <c r="J20" s="13"/>
      <c r="K20" s="13"/>
      <c r="L20" s="13"/>
      <c r="M20" s="13"/>
      <c r="N20" s="13"/>
      <c r="O20" s="13"/>
      <c r="P20" s="13"/>
      <c r="Q20" s="13"/>
      <c r="R20" s="13"/>
      <c r="S20" s="13"/>
    </row>
    <row r="21" spans="1:19" ht="12.75">
      <c r="A21" s="18"/>
      <c r="B21" s="18"/>
      <c r="C21" s="18"/>
      <c r="D21" s="18"/>
      <c r="E21" s="18"/>
      <c r="F21" s="18"/>
      <c r="G21" s="13"/>
      <c r="H21" s="13"/>
      <c r="I21" s="13"/>
      <c r="J21" s="13"/>
      <c r="K21" s="13"/>
      <c r="L21" s="13"/>
      <c r="M21" s="13"/>
      <c r="N21" s="13"/>
      <c r="O21" s="13"/>
      <c r="P21" s="13"/>
      <c r="Q21" s="13"/>
      <c r="R21" s="13"/>
      <c r="S21" s="13"/>
    </row>
    <row r="22" spans="1:19" ht="12.75">
      <c r="A22" s="18"/>
      <c r="B22" s="18"/>
      <c r="C22" s="18"/>
      <c r="D22" s="18"/>
      <c r="E22" s="18"/>
      <c r="F22" s="18"/>
      <c r="G22" s="13"/>
      <c r="H22" s="13"/>
      <c r="I22" s="13"/>
      <c r="J22" s="13"/>
      <c r="K22" s="13"/>
      <c r="L22" s="13"/>
      <c r="M22" s="13"/>
      <c r="N22" s="13"/>
      <c r="O22" s="13"/>
      <c r="P22" s="13"/>
      <c r="Q22" s="13"/>
      <c r="R22" s="13"/>
      <c r="S22" s="13"/>
    </row>
    <row r="23" spans="1:19" ht="12.75">
      <c r="A23" s="18"/>
      <c r="B23" s="18"/>
      <c r="C23" s="18"/>
      <c r="D23" s="18"/>
      <c r="E23" s="18"/>
      <c r="F23" s="18"/>
      <c r="G23" s="13"/>
      <c r="H23" s="13"/>
      <c r="I23" s="13"/>
      <c r="J23" s="13"/>
      <c r="K23" s="13"/>
      <c r="L23" s="13"/>
      <c r="M23" s="13"/>
      <c r="N23" s="13"/>
      <c r="O23" s="13"/>
      <c r="P23" s="13"/>
      <c r="Q23" s="13"/>
      <c r="R23" s="13"/>
      <c r="S23" s="13"/>
    </row>
    <row r="24" spans="1:19" ht="12.75">
      <c r="A24" s="18"/>
      <c r="B24" s="18"/>
      <c r="C24" s="18"/>
      <c r="D24" s="18"/>
      <c r="E24" s="18"/>
      <c r="F24" s="18"/>
      <c r="G24" s="13"/>
      <c r="H24" s="13"/>
      <c r="I24" s="13"/>
      <c r="J24" s="13"/>
      <c r="K24" s="13"/>
      <c r="L24" s="13"/>
      <c r="M24" s="13"/>
      <c r="N24" s="13"/>
      <c r="O24" s="13"/>
      <c r="P24" s="13"/>
      <c r="Q24" s="13"/>
      <c r="R24" s="13"/>
      <c r="S24" s="13"/>
    </row>
    <row r="25" spans="1:19" ht="12.75">
      <c r="A25" s="18"/>
      <c r="B25" s="18"/>
      <c r="C25" s="18"/>
      <c r="D25" s="18"/>
      <c r="E25" s="18"/>
      <c r="F25" s="18"/>
      <c r="G25" s="13"/>
      <c r="H25" s="13"/>
      <c r="I25" s="13"/>
      <c r="J25" s="13"/>
      <c r="K25" s="13"/>
      <c r="L25" s="13"/>
      <c r="M25" s="13"/>
      <c r="N25" s="13"/>
      <c r="O25" s="13"/>
      <c r="P25" s="13"/>
      <c r="Q25" s="13"/>
      <c r="R25" s="13"/>
      <c r="S25" s="13"/>
    </row>
    <row r="26" spans="1:19" ht="12.75">
      <c r="A26" s="18"/>
      <c r="B26" s="18"/>
      <c r="C26" s="18"/>
      <c r="D26" s="18"/>
      <c r="E26" s="18"/>
      <c r="F26" s="18"/>
      <c r="G26" s="13"/>
      <c r="H26" s="13"/>
      <c r="I26" s="13"/>
      <c r="J26" s="13"/>
      <c r="K26" s="13"/>
      <c r="L26" s="13"/>
      <c r="M26" s="13"/>
      <c r="N26" s="13"/>
      <c r="O26" s="13"/>
      <c r="P26" s="13"/>
      <c r="Q26" s="13"/>
      <c r="R26" s="13"/>
      <c r="S26" s="13"/>
    </row>
    <row r="27" spans="1:19" ht="12.75">
      <c r="A27" s="18"/>
      <c r="B27" s="18"/>
      <c r="C27" s="18"/>
      <c r="D27" s="18"/>
      <c r="E27" s="18"/>
      <c r="F27" s="18"/>
      <c r="G27" s="13"/>
      <c r="H27" s="13"/>
      <c r="I27" s="13"/>
      <c r="J27" s="13"/>
      <c r="K27" s="13"/>
      <c r="L27" s="13"/>
      <c r="M27" s="13"/>
      <c r="N27" s="13"/>
      <c r="O27" s="13"/>
      <c r="P27" s="13"/>
      <c r="Q27" s="13"/>
      <c r="R27" s="13"/>
      <c r="S27" s="13"/>
    </row>
    <row r="28" spans="1:19" ht="12.75">
      <c r="A28" s="18"/>
      <c r="B28" s="18"/>
      <c r="C28" s="18"/>
      <c r="D28" s="18"/>
      <c r="E28" s="18"/>
      <c r="F28" s="18"/>
      <c r="G28" s="13"/>
      <c r="H28" s="13"/>
      <c r="I28" s="13"/>
      <c r="J28" s="13"/>
      <c r="K28" s="13"/>
      <c r="L28" s="13"/>
      <c r="M28" s="13"/>
      <c r="N28" s="13"/>
      <c r="O28" s="13"/>
      <c r="P28" s="13"/>
      <c r="Q28" s="13"/>
      <c r="R28" s="13"/>
      <c r="S28" s="13"/>
    </row>
    <row r="29" spans="1:19" ht="12.75">
      <c r="A29" s="18"/>
      <c r="B29" s="18"/>
      <c r="C29" s="18"/>
      <c r="D29" s="18"/>
      <c r="E29" s="18"/>
      <c r="F29" s="18"/>
      <c r="G29" s="13"/>
      <c r="H29" s="13"/>
      <c r="I29" s="13"/>
      <c r="J29" s="13"/>
      <c r="K29" s="13"/>
      <c r="L29" s="13"/>
      <c r="M29" s="13"/>
      <c r="N29" s="13"/>
      <c r="O29" s="13"/>
      <c r="P29" s="13"/>
      <c r="Q29" s="13"/>
      <c r="R29" s="13"/>
      <c r="S29" s="13"/>
    </row>
    <row r="30" spans="1:19" ht="12.75">
      <c r="A30" s="18"/>
      <c r="B30" s="18"/>
      <c r="C30" s="18"/>
      <c r="D30" s="18"/>
      <c r="E30" s="18"/>
      <c r="F30" s="18"/>
      <c r="G30" s="13"/>
      <c r="H30" s="13"/>
      <c r="I30" s="13"/>
      <c r="J30" s="13"/>
      <c r="K30" s="13"/>
      <c r="L30" s="13"/>
      <c r="M30" s="13"/>
      <c r="N30" s="13"/>
      <c r="O30" s="13"/>
      <c r="P30" s="13"/>
      <c r="Q30" s="13"/>
      <c r="R30" s="13"/>
      <c r="S30" s="13"/>
    </row>
    <row r="31" spans="1:19" ht="12.75">
      <c r="A31" s="18"/>
      <c r="B31" s="18"/>
      <c r="C31" s="18"/>
      <c r="D31" s="18"/>
      <c r="E31" s="18"/>
      <c r="F31" s="18"/>
      <c r="G31" s="13"/>
      <c r="H31" s="13"/>
      <c r="I31" s="13"/>
      <c r="J31" s="13"/>
      <c r="K31" s="13"/>
      <c r="L31" s="13"/>
      <c r="M31" s="13"/>
      <c r="N31" s="13"/>
      <c r="O31" s="13"/>
      <c r="P31" s="13"/>
      <c r="Q31" s="13"/>
      <c r="R31" s="13"/>
      <c r="S31" s="13"/>
    </row>
    <row r="32" spans="1:19" ht="12.75">
      <c r="A32" s="18"/>
      <c r="B32" s="18"/>
      <c r="C32" s="18"/>
      <c r="D32" s="18"/>
      <c r="E32" s="18"/>
      <c r="F32" s="18"/>
      <c r="G32" s="13"/>
      <c r="H32" s="13"/>
      <c r="I32" s="13"/>
      <c r="J32" s="13"/>
      <c r="K32" s="13"/>
      <c r="L32" s="13"/>
      <c r="M32" s="13"/>
      <c r="N32" s="13"/>
      <c r="O32" s="13"/>
      <c r="P32" s="13"/>
      <c r="Q32" s="13"/>
      <c r="R32" s="13"/>
      <c r="S32" s="13"/>
    </row>
    <row r="33" spans="1:19" ht="12.75">
      <c r="A33" s="18"/>
      <c r="B33" s="18"/>
      <c r="C33" s="18"/>
      <c r="D33" s="18"/>
      <c r="E33" s="18"/>
      <c r="F33" s="18"/>
      <c r="G33" s="13"/>
      <c r="H33" s="13"/>
      <c r="I33" s="13"/>
      <c r="J33" s="13"/>
      <c r="K33" s="13"/>
      <c r="L33" s="13"/>
      <c r="M33" s="13"/>
      <c r="N33" s="13"/>
      <c r="O33" s="13"/>
      <c r="P33" s="13"/>
      <c r="Q33" s="13"/>
      <c r="R33" s="13"/>
      <c r="S33" s="13"/>
    </row>
    <row r="34" spans="1:19" ht="12.75">
      <c r="A34" s="18"/>
      <c r="B34" s="18"/>
      <c r="C34" s="18"/>
      <c r="D34" s="18"/>
      <c r="E34" s="18"/>
      <c r="F34" s="18"/>
      <c r="G34" s="13"/>
      <c r="H34" s="13"/>
      <c r="I34" s="13"/>
      <c r="J34" s="13"/>
      <c r="K34" s="13"/>
      <c r="L34" s="13"/>
      <c r="M34" s="13"/>
      <c r="N34" s="13"/>
      <c r="O34" s="13"/>
      <c r="P34" s="13"/>
      <c r="Q34" s="13"/>
      <c r="R34" s="13"/>
      <c r="S34" s="13"/>
    </row>
    <row r="35" spans="1:19" ht="12.75">
      <c r="A35" s="18"/>
      <c r="B35" s="18"/>
      <c r="C35" s="18"/>
      <c r="D35" s="18"/>
      <c r="E35" s="18"/>
      <c r="F35" s="18"/>
      <c r="G35" s="13"/>
      <c r="H35" s="13"/>
      <c r="I35" s="13"/>
      <c r="J35" s="13"/>
      <c r="K35" s="13"/>
      <c r="L35" s="13"/>
      <c r="M35" s="13"/>
      <c r="N35" s="13"/>
      <c r="O35" s="13"/>
      <c r="P35" s="13"/>
      <c r="Q35" s="13"/>
      <c r="R35" s="13"/>
      <c r="S35" s="13"/>
    </row>
    <row r="36" spans="1:19" ht="12.75">
      <c r="A36" s="18"/>
      <c r="B36" s="18"/>
      <c r="C36" s="18"/>
      <c r="D36" s="18"/>
      <c r="E36" s="18"/>
      <c r="F36" s="18"/>
      <c r="G36" s="13"/>
      <c r="H36" s="13"/>
      <c r="I36" s="13"/>
      <c r="J36" s="13"/>
      <c r="K36" s="13"/>
      <c r="L36" s="13"/>
      <c r="M36" s="13"/>
      <c r="N36" s="13"/>
      <c r="O36" s="13"/>
      <c r="P36" s="13"/>
      <c r="Q36" s="13"/>
      <c r="R36" s="13"/>
      <c r="S36" s="13"/>
    </row>
    <row r="37" spans="1:19" ht="12.75">
      <c r="A37" s="18"/>
      <c r="B37" s="18"/>
      <c r="C37" s="18"/>
      <c r="D37" s="18"/>
      <c r="E37" s="18"/>
      <c r="F37" s="18"/>
      <c r="G37" s="13"/>
      <c r="H37" s="13"/>
      <c r="I37" s="13"/>
      <c r="J37" s="13"/>
      <c r="K37" s="13"/>
      <c r="L37" s="13"/>
      <c r="M37" s="13"/>
      <c r="N37" s="13"/>
      <c r="O37" s="13"/>
      <c r="P37" s="13"/>
      <c r="Q37" s="13"/>
      <c r="R37" s="13"/>
      <c r="S37" s="13"/>
    </row>
    <row r="38" spans="1:19" ht="12.75">
      <c r="A38" s="18"/>
      <c r="B38" s="18"/>
      <c r="C38" s="18"/>
      <c r="D38" s="18"/>
      <c r="E38" s="18"/>
      <c r="F38" s="18"/>
      <c r="G38" s="13"/>
      <c r="H38" s="13"/>
      <c r="I38" s="13"/>
      <c r="J38" s="13"/>
      <c r="K38" s="13"/>
      <c r="L38" s="13"/>
      <c r="M38" s="13"/>
      <c r="N38" s="13"/>
      <c r="O38" s="13"/>
      <c r="P38" s="13"/>
      <c r="Q38" s="13"/>
      <c r="R38" s="13"/>
      <c r="S38" s="13"/>
    </row>
    <row r="39" spans="1:19" ht="12.75">
      <c r="A39" s="18"/>
      <c r="B39" s="18"/>
      <c r="C39" s="18"/>
      <c r="D39" s="18"/>
      <c r="E39" s="18"/>
      <c r="F39" s="18"/>
      <c r="G39" s="13"/>
      <c r="H39" s="13"/>
      <c r="I39" s="13"/>
      <c r="J39" s="13"/>
      <c r="K39" s="13"/>
      <c r="L39" s="13"/>
      <c r="M39" s="13"/>
      <c r="N39" s="13"/>
      <c r="O39" s="13"/>
      <c r="P39" s="13"/>
      <c r="Q39" s="13"/>
      <c r="R39" s="13"/>
      <c r="S39" s="13"/>
    </row>
    <row r="40" spans="1:19" ht="12.75">
      <c r="A40" s="18"/>
      <c r="B40" s="18"/>
      <c r="C40" s="18"/>
      <c r="D40" s="18"/>
      <c r="E40" s="18"/>
      <c r="F40" s="18"/>
      <c r="G40" s="13"/>
      <c r="H40" s="13"/>
      <c r="I40" s="13"/>
      <c r="J40" s="13"/>
      <c r="K40" s="13"/>
      <c r="L40" s="13"/>
      <c r="M40" s="13"/>
      <c r="N40" s="13"/>
      <c r="O40" s="13"/>
      <c r="P40" s="13"/>
      <c r="Q40" s="13"/>
      <c r="R40" s="13"/>
      <c r="S40" s="13"/>
    </row>
    <row r="41" spans="1:19" ht="12.75">
      <c r="A41" s="18"/>
      <c r="B41" s="18"/>
      <c r="C41" s="18"/>
      <c r="D41" s="18"/>
      <c r="E41" s="18"/>
      <c r="F41" s="18"/>
      <c r="G41" s="13"/>
      <c r="H41" s="13"/>
      <c r="I41" s="13"/>
      <c r="J41" s="13"/>
      <c r="K41" s="13"/>
      <c r="L41" s="13"/>
      <c r="M41" s="13"/>
      <c r="N41" s="13"/>
      <c r="O41" s="13"/>
      <c r="P41" s="13"/>
      <c r="Q41" s="13"/>
      <c r="R41" s="13"/>
      <c r="S41" s="13"/>
    </row>
    <row r="42" spans="1:19" ht="12.75">
      <c r="A42" s="18"/>
      <c r="B42" s="18"/>
      <c r="C42" s="18"/>
      <c r="D42" s="18"/>
      <c r="E42" s="18"/>
      <c r="F42" s="18"/>
      <c r="G42" s="13"/>
      <c r="H42" s="13"/>
      <c r="I42" s="13"/>
      <c r="J42" s="13"/>
      <c r="K42" s="13"/>
      <c r="L42" s="13"/>
      <c r="M42" s="13"/>
      <c r="N42" s="13"/>
      <c r="O42" s="13"/>
      <c r="P42" s="13"/>
      <c r="Q42" s="13"/>
      <c r="R42" s="13"/>
      <c r="S42" s="13"/>
    </row>
    <row r="43" spans="1:19" ht="12.75">
      <c r="A43" s="18"/>
      <c r="B43" s="18"/>
      <c r="C43" s="18"/>
      <c r="D43" s="18"/>
      <c r="E43" s="18"/>
      <c r="F43" s="18"/>
      <c r="G43" s="13"/>
      <c r="H43" s="13"/>
      <c r="I43" s="13"/>
      <c r="J43" s="13"/>
      <c r="K43" s="13"/>
      <c r="L43" s="13"/>
      <c r="M43" s="13"/>
      <c r="N43" s="13"/>
      <c r="O43" s="13"/>
      <c r="P43" s="13"/>
      <c r="Q43" s="13"/>
      <c r="R43" s="13"/>
      <c r="S43" s="13"/>
    </row>
    <row r="44" spans="1:19" ht="12.75">
      <c r="A44" s="18"/>
      <c r="B44" s="18"/>
      <c r="C44" s="18"/>
      <c r="D44" s="18"/>
      <c r="E44" s="18"/>
      <c r="F44" s="18"/>
      <c r="G44" s="13"/>
      <c r="H44" s="13"/>
      <c r="I44" s="13"/>
      <c r="J44" s="13"/>
      <c r="K44" s="13"/>
      <c r="L44" s="13"/>
      <c r="M44" s="13"/>
      <c r="N44" s="13"/>
      <c r="O44" s="13"/>
      <c r="P44" s="13"/>
      <c r="Q44" s="13"/>
      <c r="R44" s="13"/>
      <c r="S44" s="13"/>
    </row>
    <row r="45" spans="1:19" ht="12.75">
      <c r="A45" s="18"/>
      <c r="B45" s="18"/>
      <c r="C45" s="18"/>
      <c r="D45" s="18"/>
      <c r="E45" s="18"/>
      <c r="F45" s="18"/>
      <c r="G45" s="13"/>
      <c r="H45" s="13"/>
      <c r="I45" s="13"/>
      <c r="J45" s="13"/>
      <c r="K45" s="13"/>
      <c r="L45" s="13"/>
      <c r="M45" s="13"/>
      <c r="N45" s="13"/>
      <c r="O45" s="13"/>
      <c r="P45" s="13"/>
      <c r="Q45" s="13"/>
      <c r="R45" s="13"/>
      <c r="S45" s="13"/>
    </row>
    <row r="46" spans="1:19" ht="12.75">
      <c r="A46" s="18"/>
      <c r="B46" s="18"/>
      <c r="C46" s="18"/>
      <c r="D46" s="18"/>
      <c r="E46" s="18"/>
      <c r="F46" s="18"/>
      <c r="G46" s="13"/>
      <c r="H46" s="13"/>
      <c r="I46" s="13"/>
      <c r="J46" s="13"/>
      <c r="K46" s="13"/>
      <c r="L46" s="13"/>
      <c r="M46" s="13"/>
      <c r="N46" s="13"/>
      <c r="O46" s="13"/>
      <c r="P46" s="13"/>
      <c r="Q46" s="13"/>
      <c r="R46" s="13"/>
      <c r="S46" s="13"/>
    </row>
    <row r="47" spans="1:19" ht="12.75">
      <c r="A47" s="18"/>
      <c r="B47" s="18"/>
      <c r="C47" s="18"/>
      <c r="D47" s="18"/>
      <c r="E47" s="18"/>
      <c r="F47" s="18"/>
      <c r="G47" s="13"/>
      <c r="H47" s="13"/>
      <c r="I47" s="13"/>
      <c r="J47" s="13"/>
      <c r="K47" s="13"/>
      <c r="L47" s="13"/>
      <c r="M47" s="13"/>
      <c r="N47" s="13"/>
      <c r="O47" s="13"/>
      <c r="P47" s="13"/>
      <c r="Q47" s="13"/>
      <c r="R47" s="13"/>
      <c r="S47" s="13"/>
    </row>
    <row r="48" spans="1:19" ht="12.75">
      <c r="A48" s="18"/>
      <c r="B48" s="18"/>
      <c r="C48" s="18"/>
      <c r="D48" s="18"/>
      <c r="E48" s="18"/>
      <c r="F48" s="18"/>
      <c r="G48" s="13"/>
      <c r="H48" s="13"/>
      <c r="I48" s="13"/>
      <c r="J48" s="13"/>
      <c r="K48" s="13"/>
      <c r="L48" s="13"/>
      <c r="M48" s="13"/>
      <c r="N48" s="13"/>
      <c r="O48" s="13"/>
      <c r="P48" s="13"/>
      <c r="Q48" s="13"/>
      <c r="R48" s="13"/>
      <c r="S48" s="13"/>
    </row>
    <row r="49" spans="1:19" ht="12.75">
      <c r="A49" s="18"/>
      <c r="B49" s="18"/>
      <c r="C49" s="18"/>
      <c r="D49" s="18"/>
      <c r="E49" s="18"/>
      <c r="F49" s="18"/>
      <c r="G49" s="13"/>
      <c r="H49" s="13"/>
      <c r="I49" s="13"/>
      <c r="J49" s="13"/>
      <c r="K49" s="13"/>
      <c r="L49" s="13"/>
      <c r="M49" s="13"/>
      <c r="N49" s="13"/>
      <c r="O49" s="13"/>
      <c r="P49" s="13"/>
      <c r="Q49" s="13"/>
      <c r="R49" s="13"/>
      <c r="S49" s="13"/>
    </row>
    <row r="50" spans="1:19" ht="12.75">
      <c r="A50" s="18"/>
      <c r="B50" s="18"/>
      <c r="C50" s="18"/>
      <c r="D50" s="18"/>
      <c r="E50" s="18"/>
      <c r="F50" s="18"/>
      <c r="G50" s="13"/>
      <c r="H50" s="13"/>
      <c r="I50" s="13"/>
      <c r="J50" s="13"/>
      <c r="K50" s="13"/>
      <c r="L50" s="13"/>
      <c r="M50" s="13"/>
      <c r="N50" s="13"/>
      <c r="O50" s="13"/>
      <c r="P50" s="13"/>
      <c r="Q50" s="13"/>
      <c r="R50" s="13"/>
      <c r="S50" s="13"/>
    </row>
    <row r="51" spans="1:19" ht="12.75">
      <c r="A51" s="18"/>
      <c r="B51" s="18"/>
      <c r="C51" s="18"/>
      <c r="D51" s="18"/>
      <c r="E51" s="18"/>
      <c r="F51" s="18"/>
      <c r="G51" s="13"/>
      <c r="H51" s="13"/>
      <c r="I51" s="13"/>
      <c r="J51" s="13"/>
      <c r="K51" s="13"/>
      <c r="L51" s="13"/>
      <c r="M51" s="13"/>
      <c r="N51" s="13"/>
      <c r="O51" s="13"/>
      <c r="P51" s="13"/>
      <c r="Q51" s="13"/>
      <c r="R51" s="13"/>
      <c r="S51" s="13"/>
    </row>
    <row r="52" spans="1:19" ht="12.75">
      <c r="A52" s="18"/>
      <c r="B52" s="18"/>
      <c r="C52" s="18"/>
      <c r="D52" s="18"/>
      <c r="E52" s="18"/>
      <c r="F52" s="18"/>
      <c r="G52" s="13"/>
      <c r="H52" s="13"/>
      <c r="I52" s="13"/>
      <c r="J52" s="13"/>
      <c r="K52" s="13"/>
      <c r="L52" s="13"/>
      <c r="M52" s="13"/>
      <c r="N52" s="13"/>
      <c r="O52" s="13"/>
      <c r="P52" s="13"/>
      <c r="Q52" s="13"/>
      <c r="R52" s="13"/>
      <c r="S52" s="13"/>
    </row>
    <row r="53" spans="1:19" ht="12.75">
      <c r="A53" s="18"/>
      <c r="B53" s="18"/>
      <c r="C53" s="18"/>
      <c r="D53" s="18"/>
      <c r="E53" s="18"/>
      <c r="F53" s="18"/>
      <c r="G53" s="13"/>
      <c r="H53" s="13"/>
      <c r="I53" s="13"/>
      <c r="J53" s="13"/>
      <c r="K53" s="13"/>
      <c r="L53" s="13"/>
      <c r="M53" s="13"/>
      <c r="N53" s="13"/>
      <c r="O53" s="13"/>
      <c r="P53" s="13"/>
      <c r="Q53" s="13"/>
      <c r="R53" s="13"/>
      <c r="S53" s="13"/>
    </row>
    <row r="54" spans="1:19" ht="12.75">
      <c r="A54" s="18"/>
      <c r="B54" s="18"/>
      <c r="C54" s="18"/>
      <c r="D54" s="18"/>
      <c r="E54" s="18"/>
      <c r="F54" s="18"/>
      <c r="G54" s="13"/>
      <c r="H54" s="13"/>
      <c r="I54" s="13"/>
      <c r="J54" s="13"/>
      <c r="K54" s="13"/>
      <c r="L54" s="13"/>
      <c r="M54" s="13"/>
      <c r="N54" s="13"/>
      <c r="O54" s="13"/>
      <c r="P54" s="13"/>
      <c r="Q54" s="13"/>
      <c r="R54" s="13"/>
      <c r="S54" s="13"/>
    </row>
    <row r="55" spans="1:19" ht="12.75">
      <c r="A55" s="18"/>
      <c r="B55" s="18"/>
      <c r="C55" s="18"/>
      <c r="D55" s="18"/>
      <c r="E55" s="18"/>
      <c r="F55" s="18"/>
      <c r="G55" s="13"/>
      <c r="H55" s="13"/>
      <c r="I55" s="13"/>
      <c r="J55" s="13"/>
      <c r="K55" s="13"/>
      <c r="L55" s="13"/>
      <c r="M55" s="13"/>
      <c r="N55" s="13"/>
      <c r="O55" s="13"/>
      <c r="P55" s="13"/>
      <c r="Q55" s="13"/>
      <c r="R55" s="13"/>
      <c r="S55" s="13"/>
    </row>
  </sheetData>
  <sheetProtection password="A388" sheet="1" objects="1" scenarios="1" selectLockedCells="1" selectUnlockedCells="1"/>
  <mergeCells count="2">
    <mergeCell ref="D4:E4"/>
    <mergeCell ref="B2:E2"/>
  </mergeCells>
  <printOptions/>
  <pageMargins left="0.7874015748031497" right="0.6692913385826772" top="0.5118110236220472" bottom="1.07" header="0.5118110236220472" footer="0.5118110236220472"/>
  <pageSetup horizontalDpi="600" verticalDpi="600" orientation="portrait" paperSize="9" scale="95" r:id="rId1"/>
  <headerFooter alignWithMargins="0">
    <oddFooter>&amp;C&amp;9Architekt Ambrosius . Am Gretchenweg 6 . 24404 Maasholm . Tel.: 04246 / 969220 . info@Architekt-A.de . www.Archtekt-A.de
&amp;R&amp;9Kostenvergleich/&amp;A &amp;D</oddFooter>
  </headerFooter>
</worksheet>
</file>

<file path=xl/worksheets/sheet8.xml><?xml version="1.0" encoding="utf-8"?>
<worksheet xmlns="http://schemas.openxmlformats.org/spreadsheetml/2006/main" xmlns:r="http://schemas.openxmlformats.org/officeDocument/2006/relationships">
  <dimension ref="B1:AO58"/>
  <sheetViews>
    <sheetView showGridLines="0" showRowColHeaders="0" zoomScale="85" zoomScaleNormal="85" zoomScalePageLayoutView="0" workbookViewId="0" topLeftCell="A1">
      <selection activeCell="A1" sqref="A1"/>
    </sheetView>
  </sheetViews>
  <sheetFormatPr defaultColWidth="11.421875" defaultRowHeight="12.75"/>
  <cols>
    <col min="1" max="1" width="3.00390625" style="0" customWidth="1"/>
    <col min="2" max="2" width="4.140625" style="0" customWidth="1"/>
    <col min="3" max="6" width="11.7109375" style="0" customWidth="1"/>
    <col min="7" max="7" width="0.9921875" style="0" customWidth="1"/>
    <col min="8" max="13" width="11.7109375" style="0" customWidth="1"/>
    <col min="14" max="14" width="1.1484375" style="0" customWidth="1"/>
    <col min="15" max="15" width="11.7109375" style="0" customWidth="1"/>
    <col min="16" max="16" width="3.00390625" style="0" customWidth="1"/>
    <col min="17" max="17" width="4.140625" style="0" customWidth="1"/>
    <col min="22" max="22" width="0.9921875" style="0" customWidth="1"/>
    <col min="27" max="27" width="1.1484375" style="0" customWidth="1"/>
    <col min="28" max="28" width="11.7109375" style="0" customWidth="1"/>
    <col min="29" max="29" width="3.00390625" style="0" customWidth="1"/>
    <col min="30" max="30" width="11.7109375" style="0" bestFit="1" customWidth="1"/>
    <col min="32" max="32" width="11.7109375" style="0" bestFit="1" customWidth="1"/>
    <col min="34" max="35" width="12.57421875" style="0" customWidth="1"/>
    <col min="36" max="36" width="0.9921875" style="0" customWidth="1"/>
    <col min="37" max="38" width="11.7109375" style="0" bestFit="1" customWidth="1"/>
    <col min="39" max="40" width="11.7109375" style="0" customWidth="1"/>
    <col min="41" max="41" width="12.57421875" style="0" customWidth="1"/>
  </cols>
  <sheetData>
    <row r="1" ht="15.75" customHeight="1" thickBot="1">
      <c r="AJ1" s="3"/>
    </row>
    <row r="2" spans="2:36" ht="12.75">
      <c r="B2" s="117"/>
      <c r="C2" s="626" t="s">
        <v>59</v>
      </c>
      <c r="D2" s="625"/>
      <c r="E2" s="625"/>
      <c r="F2" s="627"/>
      <c r="G2" s="5"/>
      <c r="H2" s="626" t="s">
        <v>60</v>
      </c>
      <c r="I2" s="625"/>
      <c r="J2" s="625"/>
      <c r="K2" s="625"/>
      <c r="L2" s="625"/>
      <c r="M2" s="625"/>
      <c r="N2" s="276"/>
      <c r="O2" s="274" t="s">
        <v>0</v>
      </c>
      <c r="Q2" s="117"/>
      <c r="R2" s="626" t="s">
        <v>59</v>
      </c>
      <c r="S2" s="625"/>
      <c r="T2" s="625"/>
      <c r="U2" s="627"/>
      <c r="V2" s="5"/>
      <c r="W2" s="626" t="s">
        <v>60</v>
      </c>
      <c r="X2" s="625"/>
      <c r="Y2" s="625"/>
      <c r="Z2" s="625"/>
      <c r="AA2" s="276"/>
      <c r="AB2" s="274" t="s">
        <v>0</v>
      </c>
      <c r="AD2" s="624" t="s">
        <v>59</v>
      </c>
      <c r="AE2" s="625"/>
      <c r="AF2" s="625"/>
      <c r="AG2" s="625"/>
      <c r="AH2" s="625"/>
      <c r="AI2" s="274"/>
      <c r="AJ2" s="3"/>
    </row>
    <row r="3" spans="2:36" ht="6" customHeight="1">
      <c r="B3" s="4"/>
      <c r="C3" s="105"/>
      <c r="D3" s="3"/>
      <c r="E3" s="3"/>
      <c r="F3" s="106"/>
      <c r="G3" s="3"/>
      <c r="H3" s="105"/>
      <c r="I3" s="3"/>
      <c r="J3" s="3"/>
      <c r="K3" s="3"/>
      <c r="L3" s="3"/>
      <c r="M3" s="3"/>
      <c r="N3" s="90"/>
      <c r="O3" s="67"/>
      <c r="Q3" s="4"/>
      <c r="R3" s="105"/>
      <c r="S3" s="3"/>
      <c r="T3" s="3"/>
      <c r="U3" s="106"/>
      <c r="V3" s="3"/>
      <c r="W3" s="105"/>
      <c r="X3" s="3"/>
      <c r="Y3" s="3"/>
      <c r="Z3" s="3"/>
      <c r="AA3" s="90"/>
      <c r="AB3" s="67"/>
      <c r="AD3" s="4"/>
      <c r="AE3" s="3"/>
      <c r="AF3" s="3"/>
      <c r="AG3" s="3"/>
      <c r="AH3" s="3"/>
      <c r="AI3" s="67"/>
      <c r="AJ3" s="3"/>
    </row>
    <row r="4" spans="2:36" ht="12.75">
      <c r="B4" s="127" t="s">
        <v>61</v>
      </c>
      <c r="C4" s="114" t="s">
        <v>74</v>
      </c>
      <c r="D4" s="115" t="s">
        <v>75</v>
      </c>
      <c r="E4" s="398" t="s">
        <v>159</v>
      </c>
      <c r="F4" s="116" t="s">
        <v>76</v>
      </c>
      <c r="G4" s="3"/>
      <c r="H4" s="114" t="s">
        <v>74</v>
      </c>
      <c r="I4" s="115" t="s">
        <v>77</v>
      </c>
      <c r="J4" s="115" t="s">
        <v>78</v>
      </c>
      <c r="K4" s="115" t="s">
        <v>75</v>
      </c>
      <c r="L4" s="398" t="s">
        <v>159</v>
      </c>
      <c r="M4" s="115" t="s">
        <v>76</v>
      </c>
      <c r="N4" s="90"/>
      <c r="O4" s="119" t="s">
        <v>76</v>
      </c>
      <c r="Q4" s="130" t="s">
        <v>61</v>
      </c>
      <c r="R4" s="114" t="s">
        <v>74</v>
      </c>
      <c r="S4" s="115" t="s">
        <v>75</v>
      </c>
      <c r="T4" s="398" t="s">
        <v>159</v>
      </c>
      <c r="U4" s="116" t="s">
        <v>76</v>
      </c>
      <c r="V4" s="3"/>
      <c r="W4" s="114" t="s">
        <v>74</v>
      </c>
      <c r="X4" s="115" t="s">
        <v>75</v>
      </c>
      <c r="Y4" s="398" t="s">
        <v>159</v>
      </c>
      <c r="Z4" s="115" t="s">
        <v>76</v>
      </c>
      <c r="AA4" s="90"/>
      <c r="AB4" s="119" t="s">
        <v>76</v>
      </c>
      <c r="AD4" s="130" t="s">
        <v>74</v>
      </c>
      <c r="AE4" s="115" t="s">
        <v>85</v>
      </c>
      <c r="AF4" s="115" t="s">
        <v>86</v>
      </c>
      <c r="AG4" s="115" t="s">
        <v>87</v>
      </c>
      <c r="AH4" s="115" t="s">
        <v>63</v>
      </c>
      <c r="AI4" s="399" t="s">
        <v>223</v>
      </c>
      <c r="AJ4" s="3"/>
    </row>
    <row r="5" spans="2:36" ht="6" customHeight="1">
      <c r="B5" s="118"/>
      <c r="C5" s="107"/>
      <c r="D5" s="108"/>
      <c r="E5" s="108"/>
      <c r="F5" s="109"/>
      <c r="G5" s="3"/>
      <c r="H5" s="107"/>
      <c r="I5" s="108"/>
      <c r="J5" s="108"/>
      <c r="K5" s="108"/>
      <c r="L5" s="108"/>
      <c r="M5" s="108"/>
      <c r="N5" s="90"/>
      <c r="O5" s="120"/>
      <c r="Q5" s="118"/>
      <c r="R5" s="105"/>
      <c r="S5" s="3"/>
      <c r="T5" s="3"/>
      <c r="U5" s="106"/>
      <c r="V5" s="3"/>
      <c r="W5" s="105"/>
      <c r="X5" s="3"/>
      <c r="Y5" s="3"/>
      <c r="Z5" s="3"/>
      <c r="AA5" s="90"/>
      <c r="AB5" s="120"/>
      <c r="AD5" s="4"/>
      <c r="AE5" s="3"/>
      <c r="AF5" s="3"/>
      <c r="AG5" s="3"/>
      <c r="AH5" s="3"/>
      <c r="AI5" s="67"/>
      <c r="AJ5" s="3"/>
    </row>
    <row r="6" spans="2:37" ht="13.5" thickBot="1">
      <c r="B6" s="118">
        <v>1</v>
      </c>
      <c r="C6" s="110">
        <f>SUM(Darlehen!U21)</f>
        <v>25285.111395372474</v>
      </c>
      <c r="D6" s="111">
        <f>SUM(Energie!C9)</f>
        <v>882.9085</v>
      </c>
      <c r="E6" s="400">
        <f>SUM(Energie!L9)</f>
        <v>100</v>
      </c>
      <c r="F6" s="112">
        <f>SUM(C6:E6)</f>
        <v>26268.019895372476</v>
      </c>
      <c r="G6" s="3"/>
      <c r="H6" s="110">
        <f>SUM(Darlehen!U394)</f>
        <v>20418.5681734716</v>
      </c>
      <c r="I6" s="113">
        <f>SUM(Darlehen!J394)</f>
        <v>5385.930898371468</v>
      </c>
      <c r="J6" s="113">
        <f>SUM(H6:I6)</f>
        <v>25804.49907184307</v>
      </c>
      <c r="K6" s="111">
        <f>SUM(Energie!D9)</f>
        <v>298.52082352941176</v>
      </c>
      <c r="L6" s="111">
        <f>SUM(Energie!M9)</f>
        <v>165</v>
      </c>
      <c r="M6" s="113">
        <f>SUM(J6:L6)</f>
        <v>26268.019895372483</v>
      </c>
      <c r="N6" s="90"/>
      <c r="O6" s="279">
        <f>SUM(F6-M6)</f>
        <v>-7.275957614183426E-12</v>
      </c>
      <c r="Q6" s="118">
        <v>1</v>
      </c>
      <c r="R6" s="110">
        <f>Darlehen!T21</f>
        <v>25285.111395372474</v>
      </c>
      <c r="S6" s="111">
        <f>Energie!C9</f>
        <v>882.9085</v>
      </c>
      <c r="T6" s="111">
        <f>Energie!L9</f>
        <v>100</v>
      </c>
      <c r="U6" s="112">
        <f>SUM(R6:T6)</f>
        <v>26268.019895372476</v>
      </c>
      <c r="V6" s="3"/>
      <c r="W6" s="110">
        <f>Darlehen!W394</f>
        <v>25804.499071843064</v>
      </c>
      <c r="X6" s="113">
        <f>Energie!D9</f>
        <v>298.52082352941176</v>
      </c>
      <c r="Y6" s="111">
        <f>Energie!M9</f>
        <v>165</v>
      </c>
      <c r="Z6" s="113">
        <f>SUM(W6:Y6)</f>
        <v>26268.019895372476</v>
      </c>
      <c r="AA6" s="90"/>
      <c r="AB6" s="279">
        <f>SUM(U6-Z6)</f>
        <v>0</v>
      </c>
      <c r="AD6" s="145">
        <f>IF('Eingabe-Ergebnis'!$I$15=20,(SUM(Darlehen!P9:P248)),Darlehen!P369)</f>
        <v>397637.50000000006</v>
      </c>
      <c r="AE6" s="125">
        <v>0</v>
      </c>
      <c r="AF6" s="125">
        <v>0</v>
      </c>
      <c r="AG6" s="125">
        <f>Detailergebnis!D40</f>
        <v>108064.72790744765</v>
      </c>
      <c r="AH6" s="125">
        <f>Detailergebnis!D46</f>
        <v>58659.42319061418</v>
      </c>
      <c r="AI6" s="126">
        <f>Detailergebnis!D48</f>
        <v>3753.8681366057062</v>
      </c>
      <c r="AJ6" s="3"/>
      <c r="AK6" s="6">
        <f>SUM(AD6:AJ6)</f>
        <v>568115.5192346676</v>
      </c>
    </row>
    <row r="7" spans="2:41" ht="13.5" thickBot="1">
      <c r="B7" s="118">
        <v>2</v>
      </c>
      <c r="C7" s="110">
        <f>SUM(Darlehen!U33)</f>
        <v>50570.22279074495</v>
      </c>
      <c r="D7" s="111">
        <f>SUM(Energie!C$9:C10)</f>
        <v>1809.9624250000002</v>
      </c>
      <c r="E7" s="400">
        <f>SUM(Energie!L$9:L10)</f>
        <v>201.5</v>
      </c>
      <c r="F7" s="112">
        <f>SUM(C7:E7)</f>
        <v>52581.68521574495</v>
      </c>
      <c r="G7" s="3"/>
      <c r="H7" s="110">
        <f>SUM(Darlehen!U406)</f>
        <v>40865.38073076673</v>
      </c>
      <c r="I7" s="113">
        <f>SUM(Darlehen!J406)</f>
        <v>10771.861796742936</v>
      </c>
      <c r="J7" s="113">
        <f aca="true" t="shared" si="0" ref="J7:J55">SUM(H7:I7)</f>
        <v>51637.24252750967</v>
      </c>
      <c r="K7" s="111">
        <f>SUM(Energie!D$9:D10)</f>
        <v>611.9676882352941</v>
      </c>
      <c r="L7" s="111">
        <f>SUM(Energie!M$9:M10)</f>
        <v>332.475</v>
      </c>
      <c r="M7" s="113">
        <f aca="true" t="shared" si="1" ref="M7:M55">SUM(J7:L7)</f>
        <v>52581.68521574496</v>
      </c>
      <c r="N7" s="90"/>
      <c r="O7" s="279">
        <f aca="true" t="shared" si="2" ref="O7:O55">SUM(F7-M7)</f>
        <v>-1.4551915228366852E-11</v>
      </c>
      <c r="Q7" s="118">
        <v>2</v>
      </c>
      <c r="R7" s="110">
        <f>Darlehen!T33</f>
        <v>25285.111395372474</v>
      </c>
      <c r="S7" s="111">
        <f>Energie!C10</f>
        <v>927.053925</v>
      </c>
      <c r="T7" s="111">
        <f>Energie!L10</f>
        <v>101.5</v>
      </c>
      <c r="U7" s="112">
        <f aca="true" t="shared" si="3" ref="U7:U55">SUM(R7:T7)</f>
        <v>26313.665320372475</v>
      </c>
      <c r="V7" s="3"/>
      <c r="W7" s="110">
        <f>Darlehen!W406</f>
        <v>25832.743455666594</v>
      </c>
      <c r="X7" s="113">
        <f>Energie!D10</f>
        <v>313.4468647058823</v>
      </c>
      <c r="Y7" s="111">
        <f>Energie!M10</f>
        <v>167.475</v>
      </c>
      <c r="Z7" s="113">
        <f aca="true" t="shared" si="4" ref="Z7:Z55">SUM(W7:Y7)</f>
        <v>26313.665320372475</v>
      </c>
      <c r="AA7" s="90"/>
      <c r="AB7" s="279">
        <f aca="true" t="shared" si="5" ref="AB7:AB55">SUM(U7-Z7)</f>
        <v>0</v>
      </c>
      <c r="AD7" s="113"/>
      <c r="AE7" s="113"/>
      <c r="AF7" s="113"/>
      <c r="AG7" s="113"/>
      <c r="AH7" s="113"/>
      <c r="AI7" s="427" t="s">
        <v>236</v>
      </c>
      <c r="AJ7" s="3"/>
      <c r="AK7" s="113"/>
      <c r="AL7" s="113"/>
      <c r="AM7" s="113"/>
      <c r="AN7" s="113"/>
      <c r="AO7" s="113"/>
    </row>
    <row r="8" spans="2:41" ht="12.75">
      <c r="B8" s="118">
        <v>3</v>
      </c>
      <c r="C8" s="110">
        <f>SUM(Darlehen!U45)</f>
        <v>75855.33418611743</v>
      </c>
      <c r="D8" s="111">
        <f>SUM(Energie!C$9:C11)</f>
        <v>2783.3690462500003</v>
      </c>
      <c r="E8" s="400">
        <f>SUM(Energie!L$9:L11)</f>
        <v>304.5225</v>
      </c>
      <c r="F8" s="112">
        <f aca="true" t="shared" si="6" ref="F8:F55">SUM(C8:E8)</f>
        <v>78943.22573236743</v>
      </c>
      <c r="G8" s="3"/>
      <c r="H8" s="110">
        <f>SUM(Darlehen!U418)</f>
        <v>61341.88401607657</v>
      </c>
      <c r="I8" s="113">
        <f>SUM(Darlehen!J418)</f>
        <v>16157.792695114404</v>
      </c>
      <c r="J8" s="113">
        <f t="shared" si="0"/>
        <v>77499.67671119097</v>
      </c>
      <c r="K8" s="111">
        <f>SUM(Energie!D$9:D11)</f>
        <v>941.0868961764705</v>
      </c>
      <c r="L8" s="111">
        <f>SUM(Energie!M$9:M11)</f>
        <v>502.462125</v>
      </c>
      <c r="M8" s="113">
        <f t="shared" si="1"/>
        <v>78943.22573236744</v>
      </c>
      <c r="N8" s="90"/>
      <c r="O8" s="279">
        <f t="shared" si="2"/>
        <v>-1.4551915228366852E-11</v>
      </c>
      <c r="Q8" s="118">
        <v>3</v>
      </c>
      <c r="R8" s="110">
        <f>Darlehen!T45</f>
        <v>25285.111395372474</v>
      </c>
      <c r="S8" s="111">
        <f>Energie!C11</f>
        <v>973.4066212500001</v>
      </c>
      <c r="T8" s="111">
        <f>Energie!L11</f>
        <v>103.0225</v>
      </c>
      <c r="U8" s="112">
        <f t="shared" si="3"/>
        <v>26361.540516622474</v>
      </c>
      <c r="V8" s="3"/>
      <c r="W8" s="110">
        <f>Darlehen!W418</f>
        <v>25862.4341836813</v>
      </c>
      <c r="X8" s="113">
        <f>Energie!D11</f>
        <v>329.11920794117646</v>
      </c>
      <c r="Y8" s="111">
        <f>Energie!M11</f>
        <v>169.987125</v>
      </c>
      <c r="Z8" s="113">
        <f t="shared" si="4"/>
        <v>26361.540516622477</v>
      </c>
      <c r="AA8" s="90"/>
      <c r="AB8" s="279">
        <f t="shared" si="5"/>
        <v>-3.637978807091713E-12</v>
      </c>
      <c r="AD8" s="624" t="s">
        <v>60</v>
      </c>
      <c r="AE8" s="625"/>
      <c r="AF8" s="625"/>
      <c r="AG8" s="625"/>
      <c r="AH8" s="625"/>
      <c r="AI8" s="274"/>
      <c r="AJ8" s="144"/>
      <c r="AK8" s="143"/>
      <c r="AL8" s="143"/>
      <c r="AM8" s="143"/>
      <c r="AN8" s="143"/>
      <c r="AO8" s="143"/>
    </row>
    <row r="9" spans="2:41" ht="12.75">
      <c r="B9" s="118">
        <v>4</v>
      </c>
      <c r="C9" s="110">
        <f>SUM(Darlehen!U57)</f>
        <v>101140.4455814899</v>
      </c>
      <c r="D9" s="111">
        <f>SUM(Energie!C$9:C12)</f>
        <v>3805.4459985625003</v>
      </c>
      <c r="E9" s="400">
        <f>SUM(Energie!L$9:L12)</f>
        <v>409.0903375</v>
      </c>
      <c r="F9" s="112">
        <f t="shared" si="6"/>
        <v>105354.9819175524</v>
      </c>
      <c r="G9" s="3"/>
      <c r="H9" s="110">
        <f>SUM(Darlehen!U430)</f>
        <v>81849.59720267684</v>
      </c>
      <c r="I9" s="113">
        <f>SUM(Darlehen!J430)</f>
        <v>21543.723593485873</v>
      </c>
      <c r="J9" s="113">
        <f t="shared" si="0"/>
        <v>103393.32079616272</v>
      </c>
      <c r="K9" s="111">
        <f>SUM(Energie!D$9:D12)</f>
        <v>1286.662064514706</v>
      </c>
      <c r="L9" s="111">
        <f>SUM(Energie!M$9:M12)</f>
        <v>674.999056875</v>
      </c>
      <c r="M9" s="113">
        <f t="shared" si="1"/>
        <v>105354.98191755242</v>
      </c>
      <c r="N9" s="90"/>
      <c r="O9" s="279">
        <f t="shared" si="2"/>
        <v>-1.4551915228366852E-11</v>
      </c>
      <c r="Q9" s="118">
        <v>4</v>
      </c>
      <c r="R9" s="110">
        <f>Darlehen!T57</f>
        <v>25285.111395372474</v>
      </c>
      <c r="S9" s="111">
        <f>Energie!C12</f>
        <v>1022.0769523125001</v>
      </c>
      <c r="T9" s="111">
        <f>Energie!L12</f>
        <v>104.5678375</v>
      </c>
      <c r="U9" s="112">
        <f t="shared" si="3"/>
        <v>26411.756185184975</v>
      </c>
      <c r="V9" s="3"/>
      <c r="W9" s="110">
        <f>Darlehen!W430</f>
        <v>25893.64408497174</v>
      </c>
      <c r="X9" s="113">
        <f>Energie!D12</f>
        <v>345.5751683382353</v>
      </c>
      <c r="Y9" s="111">
        <f>Energie!M12</f>
        <v>172.536931875</v>
      </c>
      <c r="Z9" s="113">
        <f t="shared" si="4"/>
        <v>26411.75618518498</v>
      </c>
      <c r="AA9" s="90"/>
      <c r="AB9" s="279">
        <f t="shared" si="5"/>
        <v>-3.637978807091713E-12</v>
      </c>
      <c r="AD9" s="4"/>
      <c r="AE9" s="3"/>
      <c r="AF9" s="3"/>
      <c r="AG9" s="3"/>
      <c r="AH9" s="3"/>
      <c r="AI9" s="67"/>
      <c r="AJ9" s="3"/>
      <c r="AK9" s="3"/>
      <c r="AL9" s="3"/>
      <c r="AM9" s="3"/>
      <c r="AN9" s="3"/>
      <c r="AO9" s="3"/>
    </row>
    <row r="10" spans="2:41" ht="12.75">
      <c r="B10" s="118">
        <v>5</v>
      </c>
      <c r="C10" s="110">
        <f>SUM(Darlehen!U69)</f>
        <v>126425.55697686237</v>
      </c>
      <c r="D10" s="111">
        <f>SUM(Energie!C$9:C13)</f>
        <v>4878.626798490625</v>
      </c>
      <c r="E10" s="400">
        <f>SUM(Energie!L$9:L13)</f>
        <v>515.2266925624999</v>
      </c>
      <c r="F10" s="112">
        <f t="shared" si="6"/>
        <v>131819.41046791547</v>
      </c>
      <c r="G10" s="3"/>
      <c r="H10" s="110">
        <f>SUM(Darlehen!U442)</f>
        <v>102390.1159420602</v>
      </c>
      <c r="I10" s="113">
        <f>SUM(Darlehen!J442)</f>
        <v>26929.65449185734</v>
      </c>
      <c r="J10" s="113">
        <f t="shared" si="0"/>
        <v>129319.77043391755</v>
      </c>
      <c r="K10" s="111">
        <f>SUM(Energie!D$9:D13)</f>
        <v>1649.515991269853</v>
      </c>
      <c r="L10" s="111">
        <f>SUM(Energie!M$9:M13)</f>
        <v>850.124042728125</v>
      </c>
      <c r="M10" s="113">
        <f t="shared" si="1"/>
        <v>131819.41046791553</v>
      </c>
      <c r="N10" s="90"/>
      <c r="O10" s="279">
        <f t="shared" si="2"/>
        <v>-5.820766091346741E-11</v>
      </c>
      <c r="Q10" s="118">
        <v>5</v>
      </c>
      <c r="R10" s="110">
        <f>Darlehen!T69</f>
        <v>25285.111395372474</v>
      </c>
      <c r="S10" s="111">
        <f>Energie!C13</f>
        <v>1073.1807999281252</v>
      </c>
      <c r="T10" s="111">
        <f>Energie!L13</f>
        <v>106.1363550625</v>
      </c>
      <c r="U10" s="112">
        <f t="shared" si="3"/>
        <v>26464.4285503631</v>
      </c>
      <c r="V10" s="3"/>
      <c r="W10" s="110">
        <f>Darlehen!W442</f>
        <v>25926.449637754828</v>
      </c>
      <c r="X10" s="113">
        <f>Energie!D13</f>
        <v>362.8539267551471</v>
      </c>
      <c r="Y10" s="111">
        <f>Energie!M13</f>
        <v>175.124985853125</v>
      </c>
      <c r="Z10" s="113">
        <f t="shared" si="4"/>
        <v>26464.4285503631</v>
      </c>
      <c r="AA10" s="90"/>
      <c r="AB10" s="279">
        <f t="shared" si="5"/>
        <v>0</v>
      </c>
      <c r="AD10" s="130" t="s">
        <v>74</v>
      </c>
      <c r="AE10" s="115" t="s">
        <v>85</v>
      </c>
      <c r="AF10" s="115" t="s">
        <v>86</v>
      </c>
      <c r="AG10" s="115" t="s">
        <v>87</v>
      </c>
      <c r="AH10" s="115" t="s">
        <v>63</v>
      </c>
      <c r="AI10" s="399" t="s">
        <v>223</v>
      </c>
      <c r="AJ10" s="3"/>
      <c r="AK10" s="108"/>
      <c r="AL10" s="108"/>
      <c r="AM10" s="108"/>
      <c r="AN10" s="108"/>
      <c r="AO10" s="108"/>
    </row>
    <row r="11" spans="2:41" ht="12.75">
      <c r="B11" s="118">
        <v>6</v>
      </c>
      <c r="C11" s="110">
        <f>SUM(Darlehen!U81)</f>
        <v>151710.66837223485</v>
      </c>
      <c r="D11" s="111">
        <f>SUM(Energie!C$9:C14)</f>
        <v>6005.466638415157</v>
      </c>
      <c r="E11" s="400">
        <f>SUM(Energie!L$9:L14)</f>
        <v>622.9550929509375</v>
      </c>
      <c r="F11" s="112">
        <f t="shared" si="6"/>
        <v>158339.09010360093</v>
      </c>
      <c r="G11" s="3"/>
      <c r="H11" s="110">
        <f>SUM(Darlehen!U454)</f>
        <v>122965.11619564035</v>
      </c>
      <c r="I11" s="113">
        <f>SUM(Darlehen!J454)</f>
        <v>32315.58539022881</v>
      </c>
      <c r="J11" s="113">
        <f t="shared" si="0"/>
        <v>155280.70158586916</v>
      </c>
      <c r="K11" s="111">
        <f>SUM(Energie!D$9:D14)</f>
        <v>2030.5126143627574</v>
      </c>
      <c r="L11" s="111">
        <f>SUM(Energie!M$9:M14)</f>
        <v>1027.875903369047</v>
      </c>
      <c r="M11" s="113">
        <f t="shared" si="1"/>
        <v>158339.09010360096</v>
      </c>
      <c r="N11" s="90"/>
      <c r="O11" s="279">
        <f t="shared" si="2"/>
        <v>-2.9103830456733704E-11</v>
      </c>
      <c r="Q11" s="118">
        <v>6</v>
      </c>
      <c r="R11" s="110">
        <f>Darlehen!T81</f>
        <v>25285.111395372474</v>
      </c>
      <c r="S11" s="111">
        <f>Energie!C14</f>
        <v>1126.8398399245316</v>
      </c>
      <c r="T11" s="111">
        <f>Energie!L14</f>
        <v>107.7284003884375</v>
      </c>
      <c r="U11" s="112">
        <f t="shared" si="3"/>
        <v>26519.679635685443</v>
      </c>
      <c r="V11" s="3"/>
      <c r="W11" s="110">
        <f>Darlehen!W454</f>
        <v>25960.93115195162</v>
      </c>
      <c r="X11" s="113">
        <f>Energie!D14</f>
        <v>380.99662309290443</v>
      </c>
      <c r="Y11" s="111">
        <f>Energie!M14</f>
        <v>177.75186064092188</v>
      </c>
      <c r="Z11" s="113">
        <f t="shared" si="4"/>
        <v>26519.679635685447</v>
      </c>
      <c r="AA11" s="90"/>
      <c r="AB11" s="279">
        <f t="shared" si="5"/>
        <v>-3.637978807091713E-12</v>
      </c>
      <c r="AD11" s="4"/>
      <c r="AE11" s="3"/>
      <c r="AF11" s="3"/>
      <c r="AG11" s="3"/>
      <c r="AH11" s="3"/>
      <c r="AI11" s="67"/>
      <c r="AJ11" s="3"/>
      <c r="AK11" s="3"/>
      <c r="AL11" s="3"/>
      <c r="AM11" s="3"/>
      <c r="AN11" s="3"/>
      <c r="AO11" s="3"/>
    </row>
    <row r="12" spans="2:41" ht="13.5" thickBot="1">
      <c r="B12" s="118">
        <v>7</v>
      </c>
      <c r="C12" s="110">
        <f>SUM(Darlehen!U93)</f>
        <v>176995.77976760734</v>
      </c>
      <c r="D12" s="111">
        <f>SUM(Energie!C$9:C15)</f>
        <v>7188.648470335915</v>
      </c>
      <c r="E12" s="400">
        <f>SUM(Energie!L$9:L15)</f>
        <v>732.2994193452015</v>
      </c>
      <c r="F12" s="112">
        <f t="shared" si="6"/>
        <v>184916.72765728843</v>
      </c>
      <c r="G12" s="3"/>
      <c r="H12" s="110">
        <f>SUM(Darlehen!U466)</f>
        <v>143576.35825815832</v>
      </c>
      <c r="I12" s="113">
        <f>SUM(Darlehen!J466)</f>
        <v>37701.51628860028</v>
      </c>
      <c r="J12" s="113">
        <f t="shared" si="0"/>
        <v>181277.8745467586</v>
      </c>
      <c r="K12" s="111">
        <f>SUM(Energie!D$9:D15)</f>
        <v>2430.559068610307</v>
      </c>
      <c r="L12" s="111">
        <f>SUM(Energie!M$9:M15)</f>
        <v>1208.2940419195827</v>
      </c>
      <c r="M12" s="113">
        <f t="shared" si="1"/>
        <v>184916.7276572885</v>
      </c>
      <c r="N12" s="90"/>
      <c r="O12" s="279">
        <f t="shared" si="2"/>
        <v>-5.820766091346741E-11</v>
      </c>
      <c r="Q12" s="118">
        <v>7</v>
      </c>
      <c r="R12" s="110">
        <f>Darlehen!T93</f>
        <v>25285.111395372474</v>
      </c>
      <c r="S12" s="111">
        <f>Energie!C15</f>
        <v>1183.1818319207582</v>
      </c>
      <c r="T12" s="111">
        <f>Energie!L15</f>
        <v>109.34432639426407</v>
      </c>
      <c r="U12" s="112">
        <f t="shared" si="3"/>
        <v>26577.6375536875</v>
      </c>
      <c r="V12" s="3"/>
      <c r="W12" s="110">
        <f>Darlehen!W466</f>
        <v>25997.172960889413</v>
      </c>
      <c r="X12" s="113">
        <f>Energie!D15</f>
        <v>400.04645424754966</v>
      </c>
      <c r="Y12" s="111">
        <f>Energie!M15</f>
        <v>180.4181385505357</v>
      </c>
      <c r="Z12" s="113">
        <f t="shared" si="4"/>
        <v>26577.6375536875</v>
      </c>
      <c r="AA12" s="90"/>
      <c r="AB12" s="279">
        <f t="shared" si="5"/>
        <v>0</v>
      </c>
      <c r="AD12" s="145">
        <f>IF('Eingabe-Ergebnis'!$I$15=20,(SUM(Darlehen!P382:P627)),Darlehen!P832)</f>
        <v>362556.02203511493</v>
      </c>
      <c r="AE12" s="125">
        <f>Darlehen!F832</f>
        <v>48811.18023813195</v>
      </c>
      <c r="AF12" s="125">
        <f>IF('Eingabe-Ergebnis'!$I$15=20,(SUM(Darlehen!R382:R628)),Darlehen!R832)</f>
        <v>17820.297726753164</v>
      </c>
      <c r="AG12" s="125">
        <f>Detailergebnis!I40</f>
        <v>107618.67922441699</v>
      </c>
      <c r="AH12" s="125">
        <f>Detailergebnis!I46</f>
        <v>19833.37947094452</v>
      </c>
      <c r="AI12" s="126">
        <f>Detailergebnis!I48</f>
        <v>6193.8824253994135</v>
      </c>
      <c r="AJ12" s="3"/>
      <c r="AK12" s="113">
        <f>SUM(AD12:AJ12)</f>
        <v>562833.441120761</v>
      </c>
      <c r="AL12" s="113"/>
      <c r="AM12" s="113"/>
      <c r="AN12" s="113"/>
      <c r="AO12" s="113"/>
    </row>
    <row r="13" spans="2:41" ht="12.75">
      <c r="B13" s="118">
        <v>8</v>
      </c>
      <c r="C13" s="110">
        <f>SUM(Darlehen!U105)</f>
        <v>202280.89116297982</v>
      </c>
      <c r="D13" s="111">
        <f>SUM(Energie!C$9:C16)</f>
        <v>8430.989393852711</v>
      </c>
      <c r="E13" s="400">
        <f>SUM(Energie!L$9:L16)</f>
        <v>843.2839106353795</v>
      </c>
      <c r="F13" s="112">
        <f t="shared" si="6"/>
        <v>211555.16446746793</v>
      </c>
      <c r="G13" s="3"/>
      <c r="H13" s="110">
        <f>SUM(Darlehen!U478)</f>
        <v>164225.6909823776</v>
      </c>
      <c r="I13" s="113">
        <f>SUM(Darlehen!J478)</f>
        <v>43087.447186971745</v>
      </c>
      <c r="J13" s="113">
        <f t="shared" si="0"/>
        <v>207313.13816934935</v>
      </c>
      <c r="K13" s="111">
        <f>SUM(Energie!D$9:D16)</f>
        <v>2850.607845570234</v>
      </c>
      <c r="L13" s="111">
        <f>SUM(Energie!M$9:M16)</f>
        <v>1391.4184525483765</v>
      </c>
      <c r="M13" s="113">
        <f t="shared" si="1"/>
        <v>211555.16446746796</v>
      </c>
      <c r="N13" s="90"/>
      <c r="O13" s="279">
        <f t="shared" si="2"/>
        <v>-2.9103830456733704E-11</v>
      </c>
      <c r="Q13" s="118">
        <v>8</v>
      </c>
      <c r="R13" s="110">
        <f>Darlehen!T105</f>
        <v>25285.111395372474</v>
      </c>
      <c r="S13" s="111">
        <f>Energie!C16</f>
        <v>1242.340923516796</v>
      </c>
      <c r="T13" s="111">
        <f>Energie!L16</f>
        <v>110.98449129017803</v>
      </c>
      <c r="U13" s="112">
        <f t="shared" si="3"/>
        <v>26638.43681017945</v>
      </c>
      <c r="V13" s="3"/>
      <c r="W13" s="110">
        <f>Darlehen!W478</f>
        <v>26035.263622590726</v>
      </c>
      <c r="X13" s="113">
        <f>Energie!D16</f>
        <v>420.0487769599271</v>
      </c>
      <c r="Y13" s="111">
        <f>Energie!M16</f>
        <v>183.12441062879373</v>
      </c>
      <c r="Z13" s="113">
        <f t="shared" si="4"/>
        <v>26638.436810179446</v>
      </c>
      <c r="AA13" s="90"/>
      <c r="AB13" s="279">
        <f t="shared" si="5"/>
        <v>3.637978807091713E-12</v>
      </c>
      <c r="AD13" s="113"/>
      <c r="AE13" s="113"/>
      <c r="AF13" s="113"/>
      <c r="AG13" s="113"/>
      <c r="AH13" s="113"/>
      <c r="AI13" s="113"/>
      <c r="AJ13" s="3"/>
      <c r="AK13" s="113"/>
      <c r="AL13" s="113"/>
      <c r="AM13" s="113"/>
      <c r="AN13" s="113"/>
      <c r="AO13" s="113"/>
    </row>
    <row r="14" spans="2:41" ht="12.75">
      <c r="B14" s="118">
        <v>9</v>
      </c>
      <c r="C14" s="110">
        <f>SUM(Darlehen!U117)</f>
        <v>227566.0025583523</v>
      </c>
      <c r="D14" s="111">
        <f>SUM(Energie!C$9:C17)</f>
        <v>9735.447363545347</v>
      </c>
      <c r="E14" s="400">
        <f>SUM(Energie!L$9:L17)</f>
        <v>955.9331692949102</v>
      </c>
      <c r="F14" s="112">
        <f t="shared" si="6"/>
        <v>238257.38309119258</v>
      </c>
      <c r="G14" s="3"/>
      <c r="H14" s="110">
        <f>SUM(Darlehen!U490)</f>
        <v>184915.05621513462</v>
      </c>
      <c r="I14" s="113">
        <f>SUM(Darlehen!J490)</f>
        <v>48473.37808534321</v>
      </c>
      <c r="J14" s="113">
        <f t="shared" si="0"/>
        <v>233388.43430047785</v>
      </c>
      <c r="K14" s="111">
        <f>SUM(Energie!D$9:D17)</f>
        <v>3291.6590613781577</v>
      </c>
      <c r="L14" s="111">
        <f>SUM(Energie!M$9:M17)</f>
        <v>1577.2897293366022</v>
      </c>
      <c r="M14" s="113">
        <f t="shared" si="1"/>
        <v>238257.3830911926</v>
      </c>
      <c r="N14" s="90"/>
      <c r="O14" s="279">
        <f t="shared" si="2"/>
        <v>-2.9103830456733704E-11</v>
      </c>
      <c r="Q14" s="118">
        <v>9</v>
      </c>
      <c r="R14" s="110">
        <f>Darlehen!T117</f>
        <v>25285.111395372474</v>
      </c>
      <c r="S14" s="111">
        <f>Energie!C17</f>
        <v>1304.4579696926357</v>
      </c>
      <c r="T14" s="111">
        <f>Energie!L17</f>
        <v>112.6492586595307</v>
      </c>
      <c r="U14" s="112">
        <f t="shared" si="3"/>
        <v>26702.21862372464</v>
      </c>
      <c r="V14" s="3"/>
      <c r="W14" s="110">
        <f>Darlehen!W490</f>
        <v>26075.296131128493</v>
      </c>
      <c r="X14" s="113">
        <f>Energie!D17</f>
        <v>441.0512158079235</v>
      </c>
      <c r="Y14" s="111">
        <f>Energie!M17</f>
        <v>185.87127678822563</v>
      </c>
      <c r="Z14" s="113">
        <f t="shared" si="4"/>
        <v>26702.21862372464</v>
      </c>
      <c r="AA14" s="90"/>
      <c r="AB14" s="279">
        <f t="shared" si="5"/>
        <v>0</v>
      </c>
      <c r="AD14" s="113"/>
      <c r="AE14" s="113"/>
      <c r="AF14" s="113"/>
      <c r="AG14" s="113"/>
      <c r="AH14" s="113"/>
      <c r="AI14" s="113"/>
      <c r="AJ14" s="3"/>
      <c r="AK14" s="113"/>
      <c r="AL14" s="113"/>
      <c r="AM14" s="113"/>
      <c r="AN14" s="113"/>
      <c r="AO14" s="113"/>
    </row>
    <row r="15" spans="2:41" ht="12.75">
      <c r="B15" s="118">
        <v>10</v>
      </c>
      <c r="C15" s="110">
        <f>SUM(Darlehen!U129)</f>
        <v>252851.1139537248</v>
      </c>
      <c r="D15" s="111">
        <f>SUM(Energie!C$9:C18)</f>
        <v>11105.128231722614</v>
      </c>
      <c r="E15" s="400">
        <f>SUM(Energie!L$9:L18)</f>
        <v>1070.2721668343338</v>
      </c>
      <c r="F15" s="112">
        <f t="shared" si="6"/>
        <v>265026.51435228175</v>
      </c>
      <c r="G15" s="3"/>
      <c r="H15" s="110">
        <f>SUM(Darlehen!U502)</f>
        <v>205646.49345531396</v>
      </c>
      <c r="I15" s="113">
        <f>SUM(Darlehen!J502)</f>
        <v>53859.308983714676</v>
      </c>
      <c r="J15" s="113">
        <f t="shared" si="0"/>
        <v>259505.80243902863</v>
      </c>
      <c r="K15" s="111">
        <f>SUM(Energie!D$9:D18)</f>
        <v>3754.7628379764774</v>
      </c>
      <c r="L15" s="111">
        <f>SUM(Energie!M$9:M18)</f>
        <v>1765.9490752766512</v>
      </c>
      <c r="M15" s="113">
        <f t="shared" si="1"/>
        <v>265026.51435228175</v>
      </c>
      <c r="N15" s="90"/>
      <c r="O15" s="279">
        <f t="shared" si="2"/>
        <v>0</v>
      </c>
      <c r="Q15" s="118">
        <v>10</v>
      </c>
      <c r="R15" s="110">
        <f>Darlehen!T129</f>
        <v>25285.111395372474</v>
      </c>
      <c r="S15" s="111">
        <f>Energie!C18</f>
        <v>1369.6808681772675</v>
      </c>
      <c r="T15" s="111">
        <f>Energie!L18</f>
        <v>114.33899753942366</v>
      </c>
      <c r="U15" s="112">
        <f t="shared" si="3"/>
        <v>26769.131261089165</v>
      </c>
      <c r="V15" s="3"/>
      <c r="W15" s="110">
        <f>Darlehen!W508</f>
        <v>26117.3681385508</v>
      </c>
      <c r="X15" s="113">
        <f>Energie!D18</f>
        <v>463.10377659831966</v>
      </c>
      <c r="Y15" s="111">
        <f>Energie!M18</f>
        <v>188.659345940049</v>
      </c>
      <c r="Z15" s="113">
        <f t="shared" si="4"/>
        <v>26769.13126108917</v>
      </c>
      <c r="AA15" s="90"/>
      <c r="AB15" s="279">
        <f t="shared" si="5"/>
        <v>-3.637978807091713E-12</v>
      </c>
      <c r="AD15" s="113"/>
      <c r="AE15" s="113"/>
      <c r="AF15" s="113"/>
      <c r="AG15" s="113"/>
      <c r="AH15" s="113"/>
      <c r="AI15" s="113"/>
      <c r="AJ15" s="3"/>
      <c r="AK15" s="113"/>
      <c r="AL15" s="113"/>
      <c r="AM15" s="113"/>
      <c r="AN15" s="113"/>
      <c r="AO15" s="113"/>
    </row>
    <row r="16" spans="2:41" ht="12.75">
      <c r="B16" s="118">
        <v>11</v>
      </c>
      <c r="C16" s="110">
        <f>SUM(Darlehen!U141)</f>
        <v>278136.2253490973</v>
      </c>
      <c r="D16" s="111">
        <f>SUM(Energie!C$19:C20)</f>
        <v>12543.293143308745</v>
      </c>
      <c r="E16" s="111">
        <f>SUM(Energie!L$19:L20)</f>
        <v>1186.3262493368488</v>
      </c>
      <c r="F16" s="112">
        <f t="shared" si="6"/>
        <v>291865.8447417428</v>
      </c>
      <c r="G16" s="3"/>
      <c r="H16" s="110">
        <f>SUM(Darlehen!U520)</f>
        <v>231808.0756432177</v>
      </c>
      <c r="I16" s="113">
        <f>SUM(Darlehen!J520)</f>
        <v>53859.308983714676</v>
      </c>
      <c r="J16" s="113">
        <f t="shared" si="0"/>
        <v>285667.3846269324</v>
      </c>
      <c r="K16" s="111">
        <f>SUM(Energie!D$19:D20)</f>
        <v>4241.021803404713</v>
      </c>
      <c r="L16" s="111">
        <f>SUM(Energie!M$19:M20)</f>
        <v>1957.438311405801</v>
      </c>
      <c r="M16" s="113">
        <f t="shared" si="1"/>
        <v>291865.84474174294</v>
      </c>
      <c r="N16" s="90"/>
      <c r="O16" s="279">
        <f t="shared" si="2"/>
        <v>-1.1641532182693481E-10</v>
      </c>
      <c r="Q16" s="118">
        <v>11</v>
      </c>
      <c r="R16" s="110">
        <f>Darlehen!T141</f>
        <v>25285.111395372474</v>
      </c>
      <c r="S16" s="111">
        <f>Energie!C20</f>
        <v>1438.1649115861308</v>
      </c>
      <c r="T16" s="111">
        <f>Energie!L20</f>
        <v>116.05408250251502</v>
      </c>
      <c r="U16" s="112">
        <f t="shared" si="3"/>
        <v>26839.33038946112</v>
      </c>
      <c r="V16" s="3"/>
      <c r="W16" s="110">
        <f>Darlehen!W520</f>
        <v>26161.582187903736</v>
      </c>
      <c r="X16" s="113">
        <f>Energie!D20</f>
        <v>486.2589654282356</v>
      </c>
      <c r="Y16" s="111">
        <f>Energie!M20</f>
        <v>191.48923612914973</v>
      </c>
      <c r="Z16" s="113">
        <f t="shared" si="4"/>
        <v>26839.33038946112</v>
      </c>
      <c r="AA16" s="90"/>
      <c r="AB16" s="279">
        <f t="shared" si="5"/>
        <v>0</v>
      </c>
      <c r="AD16" s="113"/>
      <c r="AE16" s="113"/>
      <c r="AF16" s="113"/>
      <c r="AG16" s="113"/>
      <c r="AH16" s="113"/>
      <c r="AI16" s="113"/>
      <c r="AJ16" s="3"/>
      <c r="AK16" s="113"/>
      <c r="AL16" s="113"/>
      <c r="AM16" s="113"/>
      <c r="AN16" s="113"/>
      <c r="AO16" s="113"/>
    </row>
    <row r="17" spans="2:41" ht="12.75">
      <c r="B17" s="118">
        <v>12</v>
      </c>
      <c r="C17" s="110">
        <f>SUM(Darlehen!U153)</f>
        <v>303421.33674446977</v>
      </c>
      <c r="D17" s="111">
        <f>SUM(Energie!C$19:C21)</f>
        <v>14053.366300474183</v>
      </c>
      <c r="E17" s="111">
        <f>SUM(Energie!L$19:L21)</f>
        <v>1304.1211430769015</v>
      </c>
      <c r="F17" s="112">
        <f t="shared" si="6"/>
        <v>318778.8241880209</v>
      </c>
      <c r="G17" s="3"/>
      <c r="H17" s="110">
        <f>SUM(Darlehen!U532)</f>
        <v>258016.1216011249</v>
      </c>
      <c r="I17" s="113">
        <f>SUM(Darlehen!J532)</f>
        <v>53859.308983714676</v>
      </c>
      <c r="J17" s="113">
        <f t="shared" si="0"/>
        <v>311875.4305848396</v>
      </c>
      <c r="K17" s="111">
        <f>SUM(Energie!D$19:D21)</f>
        <v>4751.593717104361</v>
      </c>
      <c r="L17" s="111">
        <f>SUM(Energie!M$19:M21)</f>
        <v>2151.799886076888</v>
      </c>
      <c r="M17" s="113">
        <f t="shared" si="1"/>
        <v>318778.82418802084</v>
      </c>
      <c r="N17" s="90"/>
      <c r="O17" s="279">
        <f t="shared" si="2"/>
        <v>5.820766091346741E-11</v>
      </c>
      <c r="Q17" s="118">
        <v>12</v>
      </c>
      <c r="R17" s="110">
        <f>Darlehen!T153</f>
        <v>25285.111395372474</v>
      </c>
      <c r="S17" s="111">
        <f>Energie!C21</f>
        <v>1510.0731571654374</v>
      </c>
      <c r="T17" s="111">
        <f>Energie!L21</f>
        <v>117.79489374005274</v>
      </c>
      <c r="U17" s="112">
        <f t="shared" si="3"/>
        <v>26912.979446277965</v>
      </c>
      <c r="V17" s="3"/>
      <c r="W17" s="110">
        <f>Darlehen!W532</f>
        <v>26208.04595790723</v>
      </c>
      <c r="X17" s="113">
        <f>Energie!D21</f>
        <v>510.57191369964744</v>
      </c>
      <c r="Y17" s="111">
        <f>Energie!M21</f>
        <v>194.36157467108697</v>
      </c>
      <c r="Z17" s="113">
        <f t="shared" si="4"/>
        <v>26912.979446277965</v>
      </c>
      <c r="AA17" s="90"/>
      <c r="AB17" s="279">
        <f t="shared" si="5"/>
        <v>0</v>
      </c>
      <c r="AD17" s="113"/>
      <c r="AE17" s="113"/>
      <c r="AF17" s="113"/>
      <c r="AG17" s="113"/>
      <c r="AH17" s="113"/>
      <c r="AI17" s="113"/>
      <c r="AJ17" s="3"/>
      <c r="AK17" s="113"/>
      <c r="AL17" s="113"/>
      <c r="AM17" s="113"/>
      <c r="AN17" s="113"/>
      <c r="AO17" s="113"/>
    </row>
    <row r="18" spans="2:41" ht="12.75">
      <c r="B18" s="118">
        <v>13</v>
      </c>
      <c r="C18" s="110">
        <f>SUM(Darlehen!U165)</f>
        <v>328706.44813984225</v>
      </c>
      <c r="D18" s="111">
        <f>SUM(Energie!C$19:C22)</f>
        <v>15638.943115497892</v>
      </c>
      <c r="E18" s="111">
        <f>SUM(Energie!L$19:L22)</f>
        <v>1423.682960223055</v>
      </c>
      <c r="F18" s="112">
        <f t="shared" si="6"/>
        <v>345769.0742155632</v>
      </c>
      <c r="G18" s="3"/>
      <c r="H18" s="110">
        <f>SUM(Darlehen!U544)</f>
        <v>284272.99412099144</v>
      </c>
      <c r="I18" s="113">
        <f>SUM(Darlehen!J544)</f>
        <v>53859.308983714676</v>
      </c>
      <c r="J18" s="113">
        <f t="shared" si="0"/>
        <v>338132.3031047061</v>
      </c>
      <c r="K18" s="111">
        <f>SUM(Energie!D$19:D22)</f>
        <v>5287.69422648899</v>
      </c>
      <c r="L18" s="111">
        <f>SUM(Energie!M$19:M22)</f>
        <v>2349.076884368041</v>
      </c>
      <c r="M18" s="113">
        <f t="shared" si="1"/>
        <v>345769.07421556313</v>
      </c>
      <c r="N18" s="90"/>
      <c r="O18" s="279">
        <f t="shared" si="2"/>
        <v>5.820766091346741E-11</v>
      </c>
      <c r="Q18" s="118">
        <v>13</v>
      </c>
      <c r="R18" s="110">
        <f>Darlehen!T165</f>
        <v>25285.111395372474</v>
      </c>
      <c r="S18" s="111">
        <f>Energie!C22</f>
        <v>1585.5768150237093</v>
      </c>
      <c r="T18" s="111">
        <f>Energie!L22</f>
        <v>119.56181714615353</v>
      </c>
      <c r="U18" s="112">
        <f t="shared" si="3"/>
        <v>26990.250027542337</v>
      </c>
      <c r="V18" s="3"/>
      <c r="W18" s="110">
        <f>Darlehen!W544</f>
        <v>26256.872519866556</v>
      </c>
      <c r="X18" s="113">
        <f>Energie!D22</f>
        <v>536.1005093846298</v>
      </c>
      <c r="Y18" s="111">
        <f>Energie!M22</f>
        <v>197.27699829115326</v>
      </c>
      <c r="Z18" s="113">
        <f t="shared" si="4"/>
        <v>26990.250027542337</v>
      </c>
      <c r="AA18" s="90"/>
      <c r="AB18" s="279">
        <f t="shared" si="5"/>
        <v>0</v>
      </c>
      <c r="AD18" s="113"/>
      <c r="AE18" s="113"/>
      <c r="AF18" s="113"/>
      <c r="AG18" s="113"/>
      <c r="AH18" s="113"/>
      <c r="AI18" s="113"/>
      <c r="AJ18" s="3"/>
      <c r="AK18" s="113"/>
      <c r="AL18" s="113"/>
      <c r="AM18" s="113"/>
      <c r="AN18" s="113"/>
      <c r="AO18" s="113"/>
    </row>
    <row r="19" spans="2:41" ht="12.75">
      <c r="B19" s="118">
        <v>14</v>
      </c>
      <c r="C19" s="110">
        <f>SUM(Darlehen!U177)</f>
        <v>353991.55953521474</v>
      </c>
      <c r="D19" s="111">
        <f>SUM(Energie!C$19:C23)</f>
        <v>17303.798771272788</v>
      </c>
      <c r="E19" s="111">
        <f>SUM(Energie!L$19:L23)</f>
        <v>1545.0382046264008</v>
      </c>
      <c r="F19" s="112">
        <f t="shared" si="6"/>
        <v>372840.3965111139</v>
      </c>
      <c r="G19" s="3"/>
      <c r="H19" s="110">
        <f>SUM(Darlehen!U556)</f>
        <v>310581.1747284228</v>
      </c>
      <c r="I19" s="113">
        <f>SUM(Darlehen!J556)</f>
        <v>53859.308983714676</v>
      </c>
      <c r="J19" s="113">
        <f t="shared" si="0"/>
        <v>364440.48371213744</v>
      </c>
      <c r="K19" s="111">
        <f>SUM(Energie!D$19:D23)</f>
        <v>5850.599761342852</v>
      </c>
      <c r="L19" s="111">
        <f>SUM(Energie!M$19:M23)</f>
        <v>2549.3130376335616</v>
      </c>
      <c r="M19" s="113">
        <f t="shared" si="1"/>
        <v>372840.39651111385</v>
      </c>
      <c r="N19" s="90"/>
      <c r="O19" s="279">
        <f t="shared" si="2"/>
        <v>5.820766091346741E-11</v>
      </c>
      <c r="Q19" s="118">
        <v>14</v>
      </c>
      <c r="R19" s="110">
        <f>Darlehen!T177</f>
        <v>25285.111395372474</v>
      </c>
      <c r="S19" s="111">
        <f>Energie!C23</f>
        <v>1664.8556557748948</v>
      </c>
      <c r="T19" s="111">
        <f>Energie!L23</f>
        <v>121.35524440334584</v>
      </c>
      <c r="U19" s="112">
        <f t="shared" si="3"/>
        <v>27071.322295550715</v>
      </c>
      <c r="V19" s="3"/>
      <c r="W19" s="110">
        <f>Darlehen!W556</f>
        <v>26308.180607431335</v>
      </c>
      <c r="X19" s="113">
        <f>Energie!D23</f>
        <v>562.9055348538614</v>
      </c>
      <c r="Y19" s="111">
        <f>Energie!M23</f>
        <v>200.23615326552056</v>
      </c>
      <c r="Z19" s="113">
        <f t="shared" si="4"/>
        <v>27071.322295550715</v>
      </c>
      <c r="AA19" s="90"/>
      <c r="AB19" s="279">
        <f t="shared" si="5"/>
        <v>0</v>
      </c>
      <c r="AD19" s="113"/>
      <c r="AE19" s="113"/>
      <c r="AF19" s="113"/>
      <c r="AG19" s="113"/>
      <c r="AH19" s="113"/>
      <c r="AI19" s="113"/>
      <c r="AJ19" s="3"/>
      <c r="AK19" s="113"/>
      <c r="AL19" s="113"/>
      <c r="AM19" s="113"/>
      <c r="AN19" s="113"/>
      <c r="AO19" s="113"/>
    </row>
    <row r="20" spans="2:41" ht="12.75">
      <c r="B20" s="118">
        <v>15</v>
      </c>
      <c r="C20" s="110">
        <f>SUM(Darlehen!U189)</f>
        <v>379276.6709305872</v>
      </c>
      <c r="D20" s="111">
        <f>SUM(Energie!C$19:C24)</f>
        <v>19051.89720983643</v>
      </c>
      <c r="E20" s="111">
        <f>SUM(Energie!L$19:L24)</f>
        <v>1668.2137776957968</v>
      </c>
      <c r="F20" s="112">
        <f t="shared" si="6"/>
        <v>399996.7819181194</v>
      </c>
      <c r="G20" s="3"/>
      <c r="H20" s="110">
        <f>SUM(Darlehen!U568)</f>
        <v>336943.2696282672</v>
      </c>
      <c r="I20" s="113">
        <f>SUM(Darlehen!J568)</f>
        <v>53859.308983714676</v>
      </c>
      <c r="J20" s="113">
        <f t="shared" si="0"/>
        <v>390802.5786119819</v>
      </c>
      <c r="K20" s="111">
        <f>SUM(Energie!D$19:D24)</f>
        <v>6441.650572939407</v>
      </c>
      <c r="L20" s="111">
        <f>SUM(Energie!M$19:M24)</f>
        <v>2752.552733198065</v>
      </c>
      <c r="M20" s="113">
        <f t="shared" si="1"/>
        <v>399996.78191811935</v>
      </c>
      <c r="N20" s="90"/>
      <c r="O20" s="279">
        <f t="shared" si="2"/>
        <v>5.820766091346741E-11</v>
      </c>
      <c r="Q20" s="118">
        <v>15</v>
      </c>
      <c r="R20" s="110">
        <f>Darlehen!T189</f>
        <v>25285.111395372474</v>
      </c>
      <c r="S20" s="111">
        <f>Energie!C24</f>
        <v>1748.0984385636395</v>
      </c>
      <c r="T20" s="111">
        <f>Energie!L24</f>
        <v>123.17557306939602</v>
      </c>
      <c r="U20" s="112">
        <f t="shared" si="3"/>
        <v>27156.38540700551</v>
      </c>
      <c r="V20" s="3"/>
      <c r="W20" s="110">
        <f>Darlehen!W568</f>
        <v>26362.09489984445</v>
      </c>
      <c r="X20" s="113">
        <f>Energie!D24</f>
        <v>591.0508115965545</v>
      </c>
      <c r="Y20" s="111">
        <f>Energie!M24</f>
        <v>203.23969556450336</v>
      </c>
      <c r="Z20" s="113">
        <f t="shared" si="4"/>
        <v>27156.385407005506</v>
      </c>
      <c r="AA20" s="90"/>
      <c r="AB20" s="279">
        <f t="shared" si="5"/>
        <v>3.637978807091713E-12</v>
      </c>
      <c r="AD20" s="113"/>
      <c r="AE20" s="113"/>
      <c r="AF20" s="113"/>
      <c r="AG20" s="113"/>
      <c r="AH20" s="113"/>
      <c r="AI20" s="113"/>
      <c r="AJ20" s="3"/>
      <c r="AK20" s="113"/>
      <c r="AL20" s="113"/>
      <c r="AM20" s="113"/>
      <c r="AN20" s="113"/>
      <c r="AO20" s="113"/>
    </row>
    <row r="21" spans="2:41" ht="12.75">
      <c r="B21" s="118">
        <v>16</v>
      </c>
      <c r="C21" s="110">
        <f>SUM(Darlehen!U201)</f>
        <v>404561.7823259597</v>
      </c>
      <c r="D21" s="111">
        <f>SUM(Energie!C$19:C25)</f>
        <v>20887.40057032825</v>
      </c>
      <c r="E21" s="111">
        <f>SUM(Energie!L$19:L25)</f>
        <v>1793.2369843612337</v>
      </c>
      <c r="F21" s="112">
        <f t="shared" si="6"/>
        <v>427242.4198806492</v>
      </c>
      <c r="G21" s="3"/>
      <c r="H21" s="110">
        <f>SUM(Darlehen!U580)</f>
        <v>363362.0159476226</v>
      </c>
      <c r="I21" s="113">
        <f>SUM(Darlehen!J580)</f>
        <v>53859.308983714676</v>
      </c>
      <c r="J21" s="113">
        <f t="shared" si="0"/>
        <v>417221.32493133727</v>
      </c>
      <c r="K21" s="111">
        <f>SUM(Energie!D$19:D25)</f>
        <v>7062.253925115789</v>
      </c>
      <c r="L21" s="111">
        <f>SUM(Energie!M$19:M25)</f>
        <v>2958.841024196036</v>
      </c>
      <c r="M21" s="113">
        <f t="shared" si="1"/>
        <v>427242.4198806491</v>
      </c>
      <c r="N21" s="90"/>
      <c r="O21" s="279">
        <f t="shared" si="2"/>
        <v>1.1641532182693481E-10</v>
      </c>
      <c r="Q21" s="118">
        <v>16</v>
      </c>
      <c r="R21" s="110">
        <f>Darlehen!T201</f>
        <v>25285.111395372474</v>
      </c>
      <c r="S21" s="111">
        <f>Energie!C25</f>
        <v>1835.5033604918215</v>
      </c>
      <c r="T21" s="111">
        <f>Energie!L25</f>
        <v>125.02320666543696</v>
      </c>
      <c r="U21" s="112">
        <f t="shared" si="3"/>
        <v>27245.63796252973</v>
      </c>
      <c r="V21" s="3"/>
      <c r="W21" s="110">
        <f>Darlehen!W580</f>
        <v>26418.74631935538</v>
      </c>
      <c r="X21" s="113">
        <f>Energie!D25</f>
        <v>620.6033521763821</v>
      </c>
      <c r="Y21" s="111">
        <f>Energie!M25</f>
        <v>206.2882909979709</v>
      </c>
      <c r="Z21" s="113">
        <f t="shared" si="4"/>
        <v>27245.637962529734</v>
      </c>
      <c r="AA21" s="90"/>
      <c r="AB21" s="279">
        <f t="shared" si="5"/>
        <v>-3.637978807091713E-12</v>
      </c>
      <c r="AD21" s="113"/>
      <c r="AE21" s="113"/>
      <c r="AF21" s="113"/>
      <c r="AG21" s="113"/>
      <c r="AH21" s="113"/>
      <c r="AI21" s="113"/>
      <c r="AJ21" s="3"/>
      <c r="AK21" s="113"/>
      <c r="AL21" s="113"/>
      <c r="AM21" s="113"/>
      <c r="AN21" s="113"/>
      <c r="AO21" s="113"/>
    </row>
    <row r="22" spans="2:41" ht="12.75">
      <c r="B22" s="118">
        <v>17</v>
      </c>
      <c r="C22" s="110">
        <f>SUM(Darlehen!U213)</f>
        <v>429846.8937213322</v>
      </c>
      <c r="D22" s="111">
        <f>SUM(Energie!C$19:C26)</f>
        <v>22814.679098844663</v>
      </c>
      <c r="E22" s="111">
        <f>SUM(Energie!L$19:L26)</f>
        <v>1920.1355391266522</v>
      </c>
      <c r="F22" s="112">
        <f t="shared" si="6"/>
        <v>454581.7083593035</v>
      </c>
      <c r="G22" s="3"/>
      <c r="H22" s="110">
        <f>SUM(Darlehen!U592)</f>
        <v>389840.28829112876</v>
      </c>
      <c r="I22" s="113">
        <f>SUM(Darlehen!J592)</f>
        <v>53859.308983714676</v>
      </c>
      <c r="J22" s="113">
        <f t="shared" si="0"/>
        <v>443699.5972748434</v>
      </c>
      <c r="K22" s="111">
        <f>SUM(Energie!D$19:D26)</f>
        <v>7713.88744490099</v>
      </c>
      <c r="L22" s="111">
        <f>SUM(Energie!M$19:M26)</f>
        <v>3168.2236395589766</v>
      </c>
      <c r="M22" s="113">
        <f t="shared" si="1"/>
        <v>454581.7083593034</v>
      </c>
      <c r="N22" s="90"/>
      <c r="O22" s="279">
        <f t="shared" si="2"/>
        <v>5.820766091346741E-11</v>
      </c>
      <c r="Q22" s="118">
        <v>17</v>
      </c>
      <c r="R22" s="110">
        <f>Darlehen!T213</f>
        <v>25285.111395372474</v>
      </c>
      <c r="S22" s="111">
        <f>Energie!C26</f>
        <v>1927.2785285164125</v>
      </c>
      <c r="T22" s="111">
        <f>Energie!L26</f>
        <v>126.89855476541851</v>
      </c>
      <c r="U22" s="112">
        <f t="shared" si="3"/>
        <v>27339.288478654307</v>
      </c>
      <c r="V22" s="3"/>
      <c r="W22" s="110">
        <f>Darlehen!W592</f>
        <v>26478.272343506163</v>
      </c>
      <c r="X22" s="113">
        <f>Energie!D26</f>
        <v>651.6335197852012</v>
      </c>
      <c r="Y22" s="111">
        <f>Energie!M26</f>
        <v>209.38261536294047</v>
      </c>
      <c r="Z22" s="113">
        <f t="shared" si="4"/>
        <v>27339.288478654307</v>
      </c>
      <c r="AA22" s="90"/>
      <c r="AB22" s="279">
        <f t="shared" si="5"/>
        <v>0</v>
      </c>
      <c r="AD22" s="113"/>
      <c r="AE22" s="113"/>
      <c r="AF22" s="113"/>
      <c r="AG22" s="113"/>
      <c r="AH22" s="113"/>
      <c r="AI22" s="113"/>
      <c r="AJ22" s="3"/>
      <c r="AK22" s="113"/>
      <c r="AL22" s="113"/>
      <c r="AM22" s="113"/>
      <c r="AN22" s="113"/>
      <c r="AO22" s="113"/>
    </row>
    <row r="23" spans="2:41" ht="12.75">
      <c r="B23" s="118">
        <v>18</v>
      </c>
      <c r="C23" s="110">
        <f>SUM(Darlehen!U225)</f>
        <v>455132.0051167047</v>
      </c>
      <c r="D23" s="111">
        <f>SUM(Energie!C$19:C27)</f>
        <v>24838.321553786896</v>
      </c>
      <c r="E23" s="111">
        <f>SUM(Energie!L$19:L27)</f>
        <v>2048.937572213552</v>
      </c>
      <c r="F23" s="112">
        <f>SUM(C23:E23)</f>
        <v>482019.26424270513</v>
      </c>
      <c r="G23" s="3"/>
      <c r="H23" s="110">
        <f>SUM(Darlehen!U604)</f>
        <v>416381.10562416253</v>
      </c>
      <c r="I23" s="113">
        <f>SUM(Darlehen!J604)</f>
        <v>53859.308983714676</v>
      </c>
      <c r="J23" s="113">
        <f t="shared" si="0"/>
        <v>470240.4146078772</v>
      </c>
      <c r="K23" s="111">
        <f>SUM(Energie!D$19:D27)</f>
        <v>8398.102640675452</v>
      </c>
      <c r="L23" s="111">
        <f>SUM(Energie!M$19:M27)</f>
        <v>3380.7469941523614</v>
      </c>
      <c r="M23" s="113">
        <f t="shared" si="1"/>
        <v>482019.264242705</v>
      </c>
      <c r="N23" s="90"/>
      <c r="O23" s="279">
        <f t="shared" si="2"/>
        <v>1.1641532182693481E-10</v>
      </c>
      <c r="Q23" s="118">
        <v>18</v>
      </c>
      <c r="R23" s="110">
        <f>Darlehen!T225</f>
        <v>25285.111395372474</v>
      </c>
      <c r="S23" s="111">
        <f>Energie!C27</f>
        <v>2023.6424549422331</v>
      </c>
      <c r="T23" s="111">
        <f>Energie!L27</f>
        <v>128.8020330868998</v>
      </c>
      <c r="U23" s="112">
        <f t="shared" si="3"/>
        <v>27437.55588340161</v>
      </c>
      <c r="V23" s="3"/>
      <c r="W23" s="110">
        <f>Darlehen!W604</f>
        <v>26540.817333033763</v>
      </c>
      <c r="X23" s="113">
        <f>Energie!D27</f>
        <v>684.2151957744612</v>
      </c>
      <c r="Y23" s="111">
        <f>Energie!M27</f>
        <v>212.52335459338457</v>
      </c>
      <c r="Z23" s="113">
        <f t="shared" si="4"/>
        <v>27437.55588340161</v>
      </c>
      <c r="AA23" s="90"/>
      <c r="AB23" s="279">
        <f t="shared" si="5"/>
        <v>0</v>
      </c>
      <c r="AD23" s="113"/>
      <c r="AE23" s="113"/>
      <c r="AF23" s="113"/>
      <c r="AG23" s="113"/>
      <c r="AH23" s="113"/>
      <c r="AI23" s="113"/>
      <c r="AJ23" s="3"/>
      <c r="AK23" s="113"/>
      <c r="AL23" s="113"/>
      <c r="AM23" s="113"/>
      <c r="AN23" s="113"/>
      <c r="AO23" s="113"/>
    </row>
    <row r="24" spans="2:41" ht="12.75">
      <c r="B24" s="118">
        <v>19</v>
      </c>
      <c r="C24" s="110">
        <f>SUM(Darlehen!U237)</f>
        <v>480417.11651207716</v>
      </c>
      <c r="D24" s="111">
        <f>SUM(Energie!C$19:C28)</f>
        <v>26963.146131476242</v>
      </c>
      <c r="E24" s="111">
        <f>SUM(Energie!L$19:L28)</f>
        <v>2179.6716357967553</v>
      </c>
      <c r="F24" s="112">
        <f t="shared" si="6"/>
        <v>509559.9342793502</v>
      </c>
      <c r="G24" s="3"/>
      <c r="H24" s="110">
        <f>SUM(Darlehen!U616)</f>
        <v>442987.6385003321</v>
      </c>
      <c r="I24" s="113">
        <f>SUM(Darlehen!J616)</f>
        <v>53859.308983714676</v>
      </c>
      <c r="J24" s="113">
        <f t="shared" si="0"/>
        <v>496846.94748404674</v>
      </c>
      <c r="K24" s="111">
        <f>SUM(Energie!D$19:D28)</f>
        <v>9116.528596238637</v>
      </c>
      <c r="L24" s="111">
        <f>SUM(Energie!M$19:M28)</f>
        <v>3596.4581990646466</v>
      </c>
      <c r="M24" s="113">
        <f t="shared" si="1"/>
        <v>509559.93427935004</v>
      </c>
      <c r="N24" s="90"/>
      <c r="O24" s="279">
        <f t="shared" si="2"/>
        <v>1.7462298274040222E-10</v>
      </c>
      <c r="Q24" s="118">
        <v>19</v>
      </c>
      <c r="R24" s="110">
        <f>Darlehen!T237</f>
        <v>25285.111395372474</v>
      </c>
      <c r="S24" s="111">
        <f>Energie!C28</f>
        <v>2124.824577689345</v>
      </c>
      <c r="T24" s="111">
        <f>Energie!L28</f>
        <v>130.7340635832033</v>
      </c>
      <c r="U24" s="112">
        <f t="shared" si="3"/>
        <v>27540.670036645024</v>
      </c>
      <c r="V24" s="3"/>
      <c r="W24" s="110">
        <f>Darlehen!W616</f>
        <v>26606.532876169553</v>
      </c>
      <c r="X24" s="113">
        <f>Energie!D28</f>
        <v>718.4259555631843</v>
      </c>
      <c r="Y24" s="111">
        <f>Energie!M28</f>
        <v>215.71120491228533</v>
      </c>
      <c r="Z24" s="113">
        <f t="shared" si="4"/>
        <v>27540.67003664502</v>
      </c>
      <c r="AA24" s="90"/>
      <c r="AB24" s="279">
        <f t="shared" si="5"/>
        <v>3.637978807091713E-12</v>
      </c>
      <c r="AD24" s="113"/>
      <c r="AE24" s="113"/>
      <c r="AF24" s="113"/>
      <c r="AG24" s="113"/>
      <c r="AH24" s="113"/>
      <c r="AI24" s="113"/>
      <c r="AJ24" s="3"/>
      <c r="AK24" s="113"/>
      <c r="AL24" s="113"/>
      <c r="AM24" s="113"/>
      <c r="AN24" s="113"/>
      <c r="AO24" s="113"/>
    </row>
    <row r="25" spans="2:41" ht="12.75">
      <c r="B25" s="118">
        <v>20</v>
      </c>
      <c r="C25" s="110">
        <f>SUM(Darlehen!U249)</f>
        <v>505702.2279074476</v>
      </c>
      <c r="D25" s="111">
        <f>SUM(Energie!C$19:C29)</f>
        <v>29194.211938050055</v>
      </c>
      <c r="E25" s="111">
        <f>SUM(Energie!L$19:L29)</f>
        <v>2312.3667103337066</v>
      </c>
      <c r="F25" s="112">
        <f t="shared" si="6"/>
        <v>537208.8065558315</v>
      </c>
      <c r="G25" s="3"/>
      <c r="H25" s="110">
        <f>SUM(Darlehen!U628)</f>
        <v>469663.216650488</v>
      </c>
      <c r="I25" s="113">
        <f>SUM(Darlehen!J628)</f>
        <v>53859.308983714676</v>
      </c>
      <c r="J25" s="113">
        <f t="shared" si="0"/>
        <v>523522.52563420264</v>
      </c>
      <c r="K25" s="111">
        <f>SUM(Energie!D$19:D29)</f>
        <v>9870.875849579981</v>
      </c>
      <c r="L25" s="111">
        <f>SUM(Energie!M$19:M29)</f>
        <v>3815.405072050616</v>
      </c>
      <c r="M25" s="113">
        <f t="shared" si="1"/>
        <v>537208.8065558332</v>
      </c>
      <c r="N25" s="90"/>
      <c r="O25" s="279">
        <f t="shared" si="2"/>
        <v>-1.7462298274040222E-09</v>
      </c>
      <c r="Q25" s="118">
        <v>20</v>
      </c>
      <c r="R25" s="110">
        <f>Darlehen!T249</f>
        <v>25285.11139537044</v>
      </c>
      <c r="S25" s="111">
        <f>Energie!C29</f>
        <v>2231.065806573812</v>
      </c>
      <c r="T25" s="111">
        <f>Energie!L29</f>
        <v>132.69507453695135</v>
      </c>
      <c r="U25" s="112">
        <f t="shared" si="3"/>
        <v>27648.872276481205</v>
      </c>
      <c r="V25" s="3"/>
      <c r="W25" s="110">
        <f>Darlehen!W628</f>
        <v>26675.578150155925</v>
      </c>
      <c r="X25" s="113">
        <f>Energie!D29</f>
        <v>754.3472533413435</v>
      </c>
      <c r="Y25" s="111">
        <f>Energie!M29</f>
        <v>218.9468729859696</v>
      </c>
      <c r="Z25" s="113">
        <f t="shared" si="4"/>
        <v>27648.87227648324</v>
      </c>
      <c r="AA25" s="90"/>
      <c r="AB25" s="279">
        <f t="shared" si="5"/>
        <v>-2.0336301531642675E-09</v>
      </c>
      <c r="AD25" s="113"/>
      <c r="AE25" s="113"/>
      <c r="AF25" s="113"/>
      <c r="AG25" s="113"/>
      <c r="AH25" s="113"/>
      <c r="AI25" s="113"/>
      <c r="AJ25" s="3"/>
      <c r="AK25" s="113"/>
      <c r="AL25" s="113"/>
      <c r="AM25" s="113"/>
      <c r="AN25" s="113"/>
      <c r="AO25" s="113"/>
    </row>
    <row r="26" spans="2:41" ht="12.75">
      <c r="B26" s="118">
        <v>21</v>
      </c>
      <c r="C26" s="110">
        <f>SUM(Darlehen!U261)</f>
        <v>505702.2279074476</v>
      </c>
      <c r="D26" s="111">
        <f>SUM(Energie!C$30:C31)</f>
        <v>31536.831034952556</v>
      </c>
      <c r="E26" s="111">
        <f>SUM(Energie!L$30:L31)</f>
        <v>2447.0522109887124</v>
      </c>
      <c r="F26" s="112">
        <f t="shared" si="6"/>
        <v>539686.1111533889</v>
      </c>
      <c r="G26" s="3"/>
      <c r="H26" s="110">
        <f>SUM(Darlehen!U640)</f>
        <v>482946.8702407023</v>
      </c>
      <c r="I26" s="113">
        <f>SUM(Darlehen!J640)</f>
        <v>53859.308983714676</v>
      </c>
      <c r="J26" s="113">
        <f t="shared" si="0"/>
        <v>536806.179224417</v>
      </c>
      <c r="K26" s="111">
        <f>SUM(Energie!D$30:D31)</f>
        <v>10662.940465588392</v>
      </c>
      <c r="L26" s="111">
        <f>SUM(Energie!M$30:M31)</f>
        <v>4037.636148131375</v>
      </c>
      <c r="M26" s="113">
        <f t="shared" si="1"/>
        <v>551506.7558381367</v>
      </c>
      <c r="N26" s="90"/>
      <c r="O26" s="279">
        <f t="shared" si="2"/>
        <v>-11820.644684747793</v>
      </c>
      <c r="Q26" s="118">
        <v>21</v>
      </c>
      <c r="R26" s="110">
        <f>Darlehen!T261</f>
        <v>0</v>
      </c>
      <c r="S26" s="111">
        <f>Energie!C31</f>
        <v>2342.619096902503</v>
      </c>
      <c r="T26" s="111">
        <f>Energie!L31</f>
        <v>134.68550065500563</v>
      </c>
      <c r="U26" s="112">
        <f t="shared" si="3"/>
        <v>2477.3045975575087</v>
      </c>
      <c r="V26" s="3"/>
      <c r="W26" s="110">
        <f>Darlehen!W640</f>
        <v>13283.653590214346</v>
      </c>
      <c r="X26" s="113">
        <f>Energie!D31</f>
        <v>792.0646160084107</v>
      </c>
      <c r="Y26" s="111">
        <f>Energie!M31</f>
        <v>222.23107608075915</v>
      </c>
      <c r="Z26" s="113">
        <f t="shared" si="4"/>
        <v>14297.949282303516</v>
      </c>
      <c r="AA26" s="90"/>
      <c r="AB26" s="279">
        <f t="shared" si="5"/>
        <v>-11820.644684746007</v>
      </c>
      <c r="AD26" s="113"/>
      <c r="AE26" s="113"/>
      <c r="AF26" s="113"/>
      <c r="AG26" s="113"/>
      <c r="AH26" s="113"/>
      <c r="AI26" s="113"/>
      <c r="AJ26" s="3"/>
      <c r="AK26" s="113"/>
      <c r="AL26" s="113"/>
      <c r="AM26" s="113"/>
      <c r="AN26" s="113"/>
      <c r="AO26" s="113"/>
    </row>
    <row r="27" spans="2:41" ht="12.75">
      <c r="B27" s="118">
        <v>22</v>
      </c>
      <c r="C27" s="110">
        <f>SUM(Darlehen!U273)</f>
        <v>505702.2279074476</v>
      </c>
      <c r="D27" s="111">
        <f>SUM(Energie!C$30:C32)</f>
        <v>33996.581086700186</v>
      </c>
      <c r="E27" s="111">
        <f>SUM(Energie!L$30:L32)</f>
        <v>2583.757994153543</v>
      </c>
      <c r="F27" s="112">
        <f t="shared" si="6"/>
        <v>542282.5669883013</v>
      </c>
      <c r="G27" s="3"/>
      <c r="H27" s="110">
        <f>SUM(Darlehen!U652)</f>
        <v>482946.8702407023</v>
      </c>
      <c r="I27" s="113">
        <f>SUM(Darlehen!J652)</f>
        <v>53859.308983714676</v>
      </c>
      <c r="J27" s="113">
        <f t="shared" si="0"/>
        <v>536806.179224417</v>
      </c>
      <c r="K27" s="111">
        <f>SUM(Energie!D$30:D32)</f>
        <v>11494.608312397224</v>
      </c>
      <c r="L27" s="111">
        <f>SUM(Energie!M$30:M32)</f>
        <v>4263.200690353346</v>
      </c>
      <c r="M27" s="113">
        <f t="shared" si="1"/>
        <v>552563.9882271675</v>
      </c>
      <c r="N27" s="90"/>
      <c r="O27" s="279">
        <f t="shared" si="2"/>
        <v>-10281.421238866169</v>
      </c>
      <c r="Q27" s="118">
        <v>22</v>
      </c>
      <c r="R27" s="110">
        <f>Darlehen!T273</f>
        <v>0</v>
      </c>
      <c r="S27" s="111">
        <f>Energie!C32</f>
        <v>2459.750051747628</v>
      </c>
      <c r="T27" s="111">
        <f>Energie!L32</f>
        <v>136.7057831648307</v>
      </c>
      <c r="U27" s="112">
        <f t="shared" si="3"/>
        <v>2596.4558349124586</v>
      </c>
      <c r="V27" s="3"/>
      <c r="W27" s="110">
        <f>Darlehen!W652</f>
        <v>0</v>
      </c>
      <c r="X27" s="113">
        <f>Energie!D32</f>
        <v>831.6678468088312</v>
      </c>
      <c r="Y27" s="111">
        <f>Energie!M32</f>
        <v>225.56454222197053</v>
      </c>
      <c r="Z27" s="113">
        <f t="shared" si="4"/>
        <v>1057.2323890308016</v>
      </c>
      <c r="AA27" s="90"/>
      <c r="AB27" s="279">
        <f t="shared" si="5"/>
        <v>1539.223445881657</v>
      </c>
      <c r="AD27" s="113"/>
      <c r="AE27" s="113"/>
      <c r="AF27" s="113"/>
      <c r="AG27" s="113"/>
      <c r="AH27" s="113"/>
      <c r="AI27" s="113"/>
      <c r="AJ27" s="3"/>
      <c r="AK27" s="113"/>
      <c r="AL27" s="113"/>
      <c r="AM27" s="113"/>
      <c r="AN27" s="113"/>
      <c r="AO27" s="113"/>
    </row>
    <row r="28" spans="2:41" ht="12.75">
      <c r="B28" s="118">
        <v>23</v>
      </c>
      <c r="C28" s="110">
        <f>SUM(Darlehen!U285)</f>
        <v>505702.2279074476</v>
      </c>
      <c r="D28" s="111">
        <f>SUM(Energie!C$30:C33)</f>
        <v>36579.31864103519</v>
      </c>
      <c r="E28" s="111">
        <f>SUM(Energie!L$30:L33)</f>
        <v>2722.514364065846</v>
      </c>
      <c r="F28" s="112">
        <f t="shared" si="6"/>
        <v>545004.0609125487</v>
      </c>
      <c r="G28" s="3"/>
      <c r="H28" s="110">
        <f>SUM(Darlehen!U664)</f>
        <v>482946.8702407023</v>
      </c>
      <c r="I28" s="113">
        <f>SUM(Darlehen!J664)</f>
        <v>53859.308983714676</v>
      </c>
      <c r="J28" s="113">
        <f t="shared" si="0"/>
        <v>536806.179224417</v>
      </c>
      <c r="K28" s="111">
        <f>SUM(Energie!D$30:D33)</f>
        <v>12367.859551546497</v>
      </c>
      <c r="L28" s="111">
        <f>SUM(Energie!M$30:M33)</f>
        <v>4492.148700708645</v>
      </c>
      <c r="M28" s="113">
        <f t="shared" si="1"/>
        <v>553666.1874766721</v>
      </c>
      <c r="N28" s="90"/>
      <c r="O28" s="279">
        <f t="shared" si="2"/>
        <v>-8662.126564123435</v>
      </c>
      <c r="Q28" s="118">
        <v>23</v>
      </c>
      <c r="R28" s="110">
        <f>Darlehen!T285</f>
        <v>0</v>
      </c>
      <c r="S28" s="111">
        <f>Energie!C33</f>
        <v>2582.737554335009</v>
      </c>
      <c r="T28" s="111">
        <f>Energie!L33</f>
        <v>138.75636991230317</v>
      </c>
      <c r="U28" s="112">
        <f t="shared" si="3"/>
        <v>2721.493924247312</v>
      </c>
      <c r="V28" s="3"/>
      <c r="W28" s="110">
        <f>Darlehen!W664</f>
        <v>0</v>
      </c>
      <c r="X28" s="113">
        <f>Energie!D33</f>
        <v>873.2512391492728</v>
      </c>
      <c r="Y28" s="111">
        <f>Energie!M33</f>
        <v>228.94801035530008</v>
      </c>
      <c r="Z28" s="113">
        <f t="shared" si="4"/>
        <v>1102.199249504573</v>
      </c>
      <c r="AA28" s="90"/>
      <c r="AB28" s="279">
        <f t="shared" si="5"/>
        <v>1619.294674742739</v>
      </c>
      <c r="AD28" s="113"/>
      <c r="AE28" s="113"/>
      <c r="AF28" s="113"/>
      <c r="AG28" s="113"/>
      <c r="AH28" s="113"/>
      <c r="AI28" s="113"/>
      <c r="AJ28" s="3"/>
      <c r="AK28" s="113"/>
      <c r="AL28" s="113"/>
      <c r="AM28" s="113"/>
      <c r="AN28" s="113"/>
      <c r="AO28" s="113"/>
    </row>
    <row r="29" spans="2:41" ht="12.75">
      <c r="B29" s="118">
        <v>24</v>
      </c>
      <c r="C29" s="110">
        <f>SUM(Darlehen!U297)</f>
        <v>505702.2279074476</v>
      </c>
      <c r="D29" s="111">
        <f>SUM(Energie!C$30:C34)</f>
        <v>39291.19307308695</v>
      </c>
      <c r="E29" s="111">
        <f>SUM(Energie!L$30:L34)</f>
        <v>2863.3520795268337</v>
      </c>
      <c r="F29" s="112">
        <f t="shared" si="6"/>
        <v>547856.7730600614</v>
      </c>
      <c r="G29" s="3"/>
      <c r="H29" s="110">
        <f>SUM(Darlehen!U676)</f>
        <v>482946.8702407023</v>
      </c>
      <c r="I29" s="113">
        <f>SUM(Darlehen!J676)</f>
        <v>53859.308983714676</v>
      </c>
      <c r="J29" s="113">
        <f t="shared" si="0"/>
        <v>536806.179224417</v>
      </c>
      <c r="K29" s="111">
        <f>SUM(Energie!D$30:D34)</f>
        <v>13284.773352653234</v>
      </c>
      <c r="L29" s="111">
        <f>SUM(Energie!M$30:M34)</f>
        <v>4724.530931219275</v>
      </c>
      <c r="M29" s="113">
        <f t="shared" si="1"/>
        <v>554815.4835082894</v>
      </c>
      <c r="N29" s="90"/>
      <c r="O29" s="279">
        <f t="shared" si="2"/>
        <v>-6958.710448228056</v>
      </c>
      <c r="Q29" s="118">
        <v>24</v>
      </c>
      <c r="R29" s="110">
        <f>Darlehen!T297</f>
        <v>0</v>
      </c>
      <c r="S29" s="111">
        <f>Energie!C34</f>
        <v>2711.8744320517594</v>
      </c>
      <c r="T29" s="111">
        <f>Energie!L34</f>
        <v>140.8377154609877</v>
      </c>
      <c r="U29" s="112">
        <f t="shared" si="3"/>
        <v>2852.712147512747</v>
      </c>
      <c r="V29" s="3"/>
      <c r="W29" s="110">
        <f>Darlehen!W676</f>
        <v>0</v>
      </c>
      <c r="X29" s="113">
        <f>Energie!D34</f>
        <v>916.9138011067364</v>
      </c>
      <c r="Y29" s="111">
        <f>Energie!M34</f>
        <v>232.3822305106296</v>
      </c>
      <c r="Z29" s="113">
        <f t="shared" si="4"/>
        <v>1149.296031617366</v>
      </c>
      <c r="AA29" s="90"/>
      <c r="AB29" s="279">
        <f t="shared" si="5"/>
        <v>1703.416115895381</v>
      </c>
      <c r="AD29" s="113"/>
      <c r="AE29" s="113"/>
      <c r="AF29" s="113"/>
      <c r="AG29" s="113"/>
      <c r="AH29" s="113"/>
      <c r="AI29" s="113"/>
      <c r="AJ29" s="3"/>
      <c r="AK29" s="113"/>
      <c r="AL29" s="113"/>
      <c r="AM29" s="113"/>
      <c r="AN29" s="113"/>
      <c r="AO29" s="113"/>
    </row>
    <row r="30" spans="2:41" ht="12.75">
      <c r="B30" s="118">
        <v>25</v>
      </c>
      <c r="C30" s="110">
        <f>SUM(Darlehen!U309)</f>
        <v>505702.2279074476</v>
      </c>
      <c r="D30" s="111">
        <f>SUM(Energie!C$30:C35)</f>
        <v>42138.6612267413</v>
      </c>
      <c r="E30" s="111">
        <f>SUM(Energie!L$30:L35)</f>
        <v>3006.302360719736</v>
      </c>
      <c r="F30" s="112">
        <f t="shared" si="6"/>
        <v>550847.1914949086</v>
      </c>
      <c r="G30" s="3"/>
      <c r="H30" s="110">
        <f>SUM(Darlehen!U688)</f>
        <v>482946.8702407023</v>
      </c>
      <c r="I30" s="113">
        <f>SUM(Darlehen!J688)</f>
        <v>53859.308983714676</v>
      </c>
      <c r="J30" s="113">
        <f t="shared" si="0"/>
        <v>536806.179224417</v>
      </c>
      <c r="K30" s="111">
        <f>SUM(Energie!D$30:D35)</f>
        <v>14247.532843815306</v>
      </c>
      <c r="L30" s="111">
        <f>SUM(Energie!M$30:M35)</f>
        <v>4960.3988951875635</v>
      </c>
      <c r="M30" s="113">
        <f t="shared" si="1"/>
        <v>556014.1109634198</v>
      </c>
      <c r="N30" s="90"/>
      <c r="O30" s="279">
        <f t="shared" si="2"/>
        <v>-5166.919468511129</v>
      </c>
      <c r="Q30" s="118">
        <v>25</v>
      </c>
      <c r="R30" s="110">
        <f>Darlehen!T309</f>
        <v>0</v>
      </c>
      <c r="S30" s="111">
        <f>Energie!C35</f>
        <v>2847.4681536543476</v>
      </c>
      <c r="T30" s="111">
        <f>Energie!L35</f>
        <v>142.95028119290254</v>
      </c>
      <c r="U30" s="112">
        <f t="shared" si="3"/>
        <v>2990.41843484725</v>
      </c>
      <c r="V30" s="3"/>
      <c r="W30" s="110">
        <f>Darlehen!W688</f>
        <v>0</v>
      </c>
      <c r="X30" s="113">
        <f>Energie!D35</f>
        <v>962.7594911620732</v>
      </c>
      <c r="Y30" s="111">
        <f>Energie!M35</f>
        <v>235.86796396828905</v>
      </c>
      <c r="Z30" s="113">
        <f t="shared" si="4"/>
        <v>1198.6274551303623</v>
      </c>
      <c r="AA30" s="90"/>
      <c r="AB30" s="279">
        <f t="shared" si="5"/>
        <v>1791.7909797168877</v>
      </c>
      <c r="AD30" s="113"/>
      <c r="AE30" s="113"/>
      <c r="AF30" s="113"/>
      <c r="AG30" s="113"/>
      <c r="AH30" s="113"/>
      <c r="AI30" s="113"/>
      <c r="AJ30" s="3"/>
      <c r="AK30" s="113"/>
      <c r="AL30" s="113"/>
      <c r="AM30" s="113"/>
      <c r="AN30" s="113"/>
      <c r="AO30" s="113"/>
    </row>
    <row r="31" spans="2:41" ht="12.75">
      <c r="B31" s="118">
        <v>26</v>
      </c>
      <c r="C31" s="110">
        <f>SUM(Darlehen!U321)</f>
        <v>505702.2279074476</v>
      </c>
      <c r="D31" s="111">
        <f>SUM(Energie!C$30:C36)</f>
        <v>45128.50278807837</v>
      </c>
      <c r="E31" s="111">
        <f>SUM(Energie!L$30:L36)</f>
        <v>3151.3968961305322</v>
      </c>
      <c r="F31" s="112">
        <f t="shared" si="6"/>
        <v>553982.1275916565</v>
      </c>
      <c r="G31" s="3"/>
      <c r="H31" s="110">
        <f>SUM(Darlehen!U700)</f>
        <v>482946.8702407023</v>
      </c>
      <c r="I31" s="113">
        <f>SUM(Darlehen!J700)</f>
        <v>53859.308983714676</v>
      </c>
      <c r="J31" s="113">
        <f>SUM(H31:I31)</f>
        <v>536806.179224417</v>
      </c>
      <c r="K31" s="111">
        <f>SUM(Energie!D$30:D36)</f>
        <v>15258.430309535483</v>
      </c>
      <c r="L31" s="111">
        <f>SUM(Energie!M$30:M36)</f>
        <v>5199.804878615377</v>
      </c>
      <c r="M31" s="113">
        <f t="shared" si="1"/>
        <v>557264.4144125679</v>
      </c>
      <c r="N31" s="90"/>
      <c r="O31" s="279">
        <f t="shared" si="2"/>
        <v>-3282.2868209113367</v>
      </c>
      <c r="Q31" s="118">
        <v>26</v>
      </c>
      <c r="R31" s="110">
        <f>Darlehen!T321</f>
        <v>0</v>
      </c>
      <c r="S31" s="111">
        <f>Energie!C36</f>
        <v>2989.841561337065</v>
      </c>
      <c r="T31" s="111">
        <f>Energie!L36</f>
        <v>145.09453541079608</v>
      </c>
      <c r="U31" s="112">
        <f t="shared" si="3"/>
        <v>3134.936096747861</v>
      </c>
      <c r="V31" s="3"/>
      <c r="W31" s="110">
        <f>Darlehen!W700</f>
        <v>0</v>
      </c>
      <c r="X31" s="113">
        <f>Energie!D36</f>
        <v>1010.8974657201769</v>
      </c>
      <c r="Y31" s="111">
        <f>Energie!M36</f>
        <v>239.4059834278134</v>
      </c>
      <c r="Z31" s="113">
        <f t="shared" si="4"/>
        <v>1250.3034491479902</v>
      </c>
      <c r="AA31" s="90"/>
      <c r="AB31" s="279">
        <f t="shared" si="5"/>
        <v>1884.6326475998708</v>
      </c>
      <c r="AD31" s="113"/>
      <c r="AE31" s="113"/>
      <c r="AF31" s="113"/>
      <c r="AG31" s="113"/>
      <c r="AH31" s="113"/>
      <c r="AI31" s="113"/>
      <c r="AJ31" s="3"/>
      <c r="AK31" s="113"/>
      <c r="AL31" s="113"/>
      <c r="AM31" s="113"/>
      <c r="AN31" s="113"/>
      <c r="AO31" s="113"/>
    </row>
    <row r="32" spans="2:41" ht="12.75">
      <c r="B32" s="118">
        <v>27</v>
      </c>
      <c r="C32" s="110">
        <f>SUM(Darlehen!U333)</f>
        <v>505702.2279074476</v>
      </c>
      <c r="D32" s="111">
        <f>SUM(Energie!C$30:C37)</f>
        <v>48267.83642748228</v>
      </c>
      <c r="E32" s="111">
        <f>SUM(Energie!L$30:L37)</f>
        <v>3298.6678495724905</v>
      </c>
      <c r="F32" s="112">
        <f t="shared" si="6"/>
        <v>557268.7321845024</v>
      </c>
      <c r="G32" s="3"/>
      <c r="H32" s="110">
        <f>SUM(Darlehen!U712)</f>
        <v>482946.8702407023</v>
      </c>
      <c r="I32" s="113">
        <f>SUM(Darlehen!J712)</f>
        <v>53859.308983714676</v>
      </c>
      <c r="J32" s="113">
        <f t="shared" si="0"/>
        <v>536806.179224417</v>
      </c>
      <c r="K32" s="111">
        <f>SUM(Energie!D$30:D37)</f>
        <v>16319.872648541668</v>
      </c>
      <c r="L32" s="111">
        <f>SUM(Energie!M$30:M37)</f>
        <v>5442.801951794608</v>
      </c>
      <c r="M32" s="113">
        <f t="shared" si="1"/>
        <v>558568.8538247533</v>
      </c>
      <c r="N32" s="90"/>
      <c r="O32" s="279">
        <f t="shared" si="2"/>
        <v>-1300.1216402509017</v>
      </c>
      <c r="Q32" s="118">
        <v>27</v>
      </c>
      <c r="R32" s="110">
        <f>Darlehen!T333</f>
        <v>0</v>
      </c>
      <c r="S32" s="111">
        <f>Energie!C37</f>
        <v>3139.333639403918</v>
      </c>
      <c r="T32" s="111">
        <f>Energie!L37</f>
        <v>147.27095344195803</v>
      </c>
      <c r="U32" s="112">
        <f t="shared" si="3"/>
        <v>3286.604592845876</v>
      </c>
      <c r="V32" s="3"/>
      <c r="W32" s="110">
        <f>Darlehen!W712</f>
        <v>0</v>
      </c>
      <c r="X32" s="113">
        <f>Energie!D37</f>
        <v>1061.4423390061856</v>
      </c>
      <c r="Y32" s="111">
        <f>Energie!M37</f>
        <v>242.9970731792306</v>
      </c>
      <c r="Z32" s="113">
        <f t="shared" si="4"/>
        <v>1304.4394121854161</v>
      </c>
      <c r="AA32" s="90"/>
      <c r="AB32" s="279">
        <f t="shared" si="5"/>
        <v>1982.16518066046</v>
      </c>
      <c r="AD32" s="113"/>
      <c r="AE32" s="113"/>
      <c r="AF32" s="113"/>
      <c r="AG32" s="113"/>
      <c r="AH32" s="113"/>
      <c r="AI32" s="113"/>
      <c r="AJ32" s="3"/>
      <c r="AK32" s="113"/>
      <c r="AL32" s="113"/>
      <c r="AM32" s="113"/>
      <c r="AN32" s="113"/>
      <c r="AO32" s="113"/>
    </row>
    <row r="33" spans="2:41" ht="12.75">
      <c r="B33" s="118">
        <v>28</v>
      </c>
      <c r="C33" s="110">
        <f>SUM(Darlehen!U345)</f>
        <v>505702.2279074476</v>
      </c>
      <c r="D33" s="111">
        <f>SUM(Energie!C$30:C38)</f>
        <v>51564.1367488564</v>
      </c>
      <c r="E33" s="111">
        <f>SUM(Energie!L$30:L38)</f>
        <v>3448.1478673160777</v>
      </c>
      <c r="F33" s="112">
        <f t="shared" si="6"/>
        <v>560714.51252362</v>
      </c>
      <c r="G33" s="3"/>
      <c r="H33" s="110">
        <f>SUM(Darlehen!U724)</f>
        <v>482946.8702407023</v>
      </c>
      <c r="I33" s="113">
        <f>SUM(Darlehen!J724)</f>
        <v>53859.308983714676</v>
      </c>
      <c r="J33" s="113">
        <f t="shared" si="0"/>
        <v>536806.179224417</v>
      </c>
      <c r="K33" s="111">
        <f>SUM(Energie!D$30:D38)</f>
        <v>17434.387104498164</v>
      </c>
      <c r="L33" s="111">
        <f>SUM(Energie!M$30:M38)</f>
        <v>5689.443981071527</v>
      </c>
      <c r="M33" s="113">
        <f t="shared" si="1"/>
        <v>559930.0103099865</v>
      </c>
      <c r="N33" s="90"/>
      <c r="O33" s="279">
        <f t="shared" si="2"/>
        <v>784.5022136335028</v>
      </c>
      <c r="Q33" s="118">
        <v>28</v>
      </c>
      <c r="R33" s="110">
        <f>Darlehen!T345</f>
        <v>0</v>
      </c>
      <c r="S33" s="111">
        <f>Energie!C38</f>
        <v>3296.300321374114</v>
      </c>
      <c r="T33" s="111">
        <f>Energie!L38</f>
        <v>149.4800177435874</v>
      </c>
      <c r="U33" s="112">
        <f t="shared" si="3"/>
        <v>3445.7803391177013</v>
      </c>
      <c r="V33" s="3"/>
      <c r="W33" s="110">
        <f>Darlehen!W724</f>
        <v>0</v>
      </c>
      <c r="X33" s="113">
        <f>Energie!D38</f>
        <v>1114.5144559564949</v>
      </c>
      <c r="Y33" s="111">
        <f>Energie!M38</f>
        <v>246.64202927691906</v>
      </c>
      <c r="Z33" s="113">
        <f t="shared" si="4"/>
        <v>1361.156485233414</v>
      </c>
      <c r="AA33" s="90"/>
      <c r="AB33" s="279">
        <f t="shared" si="5"/>
        <v>2084.623853884287</v>
      </c>
      <c r="AD33" s="113"/>
      <c r="AE33" s="113"/>
      <c r="AF33" s="113"/>
      <c r="AG33" s="113"/>
      <c r="AH33" s="113"/>
      <c r="AI33" s="113"/>
      <c r="AJ33" s="3"/>
      <c r="AK33" s="113"/>
      <c r="AL33" s="113"/>
      <c r="AM33" s="113"/>
      <c r="AN33" s="113"/>
      <c r="AO33" s="113"/>
    </row>
    <row r="34" spans="2:41" ht="12.75">
      <c r="B34" s="118">
        <v>29</v>
      </c>
      <c r="C34" s="110">
        <f>SUM(Darlehen!U357)</f>
        <v>505702.2279074476</v>
      </c>
      <c r="D34" s="111">
        <f>SUM(Energie!C$30:C39)</f>
        <v>55025.25208629922</v>
      </c>
      <c r="E34" s="111">
        <f>SUM(Energie!L$30:L39)</f>
        <v>3599.8700853258188</v>
      </c>
      <c r="F34" s="112">
        <f t="shared" si="6"/>
        <v>564327.3500790726</v>
      </c>
      <c r="G34" s="3"/>
      <c r="H34" s="110">
        <f>SUM(Darlehen!U736)</f>
        <v>482946.8702407023</v>
      </c>
      <c r="I34" s="113">
        <f>SUM(Darlehen!J736)</f>
        <v>53859.308983714676</v>
      </c>
      <c r="J34" s="113">
        <f t="shared" si="0"/>
        <v>536806.179224417</v>
      </c>
      <c r="K34" s="111">
        <f>SUM(Energie!D$30:D39)</f>
        <v>18604.627283252485</v>
      </c>
      <c r="L34" s="111">
        <f>SUM(Energie!M$30:M39)</f>
        <v>5939.7856407876</v>
      </c>
      <c r="M34" s="113">
        <f t="shared" si="1"/>
        <v>561350.592148457</v>
      </c>
      <c r="N34" s="90"/>
      <c r="O34" s="279">
        <f t="shared" si="2"/>
        <v>2976.757930615684</v>
      </c>
      <c r="Q34" s="118">
        <v>29</v>
      </c>
      <c r="R34" s="110">
        <f>Darlehen!T357</f>
        <v>0</v>
      </c>
      <c r="S34" s="111">
        <f>Energie!C39</f>
        <v>3461.1153374428195</v>
      </c>
      <c r="T34" s="111">
        <f>Energie!L39</f>
        <v>151.72221800974123</v>
      </c>
      <c r="U34" s="112">
        <f t="shared" si="3"/>
        <v>3612.8375554525605</v>
      </c>
      <c r="V34" s="3"/>
      <c r="W34" s="110">
        <f>Darlehen!W736</f>
        <v>0</v>
      </c>
      <c r="X34" s="113">
        <f>Energie!D39</f>
        <v>1170.2401787543197</v>
      </c>
      <c r="Y34" s="111">
        <f>Energie!M39</f>
        <v>250.34165971607285</v>
      </c>
      <c r="Z34" s="113">
        <f t="shared" si="4"/>
        <v>1420.5818384703925</v>
      </c>
      <c r="AA34" s="90"/>
      <c r="AB34" s="279">
        <f t="shared" si="5"/>
        <v>2192.255716982168</v>
      </c>
      <c r="AD34" s="113"/>
      <c r="AE34" s="113"/>
      <c r="AF34" s="113"/>
      <c r="AG34" s="113"/>
      <c r="AH34" s="113"/>
      <c r="AI34" s="113"/>
      <c r="AJ34" s="3"/>
      <c r="AK34" s="113"/>
      <c r="AL34" s="113"/>
      <c r="AM34" s="113"/>
      <c r="AN34" s="113"/>
      <c r="AO34" s="113"/>
    </row>
    <row r="35" spans="2:41" ht="12.75">
      <c r="B35" s="118">
        <v>30</v>
      </c>
      <c r="C35" s="110">
        <f>SUM(Darlehen!U369)</f>
        <v>505702.2279074476</v>
      </c>
      <c r="D35" s="111">
        <f>SUM(Energie!C$30:C40)</f>
        <v>58659.42319061418</v>
      </c>
      <c r="E35" s="111">
        <f>SUM(Energie!L$30:L40)</f>
        <v>3753.8681366057062</v>
      </c>
      <c r="F35" s="112">
        <f t="shared" si="6"/>
        <v>568115.5192346675</v>
      </c>
      <c r="G35" s="3"/>
      <c r="H35" s="110">
        <f>SUM(Darlehen!U832)</f>
        <v>482946.8702407023</v>
      </c>
      <c r="I35" s="113">
        <f>SUM(Darlehen!J832)</f>
        <v>53859.308983714676</v>
      </c>
      <c r="J35" s="113">
        <f t="shared" si="0"/>
        <v>536806.179224417</v>
      </c>
      <c r="K35" s="111">
        <f>SUM(Energie!D$30:D40)</f>
        <v>19833.37947094452</v>
      </c>
      <c r="L35" s="111">
        <f>SUM(Energie!M$30:M40)</f>
        <v>6193.8824253994135</v>
      </c>
      <c r="M35" s="113">
        <f t="shared" si="1"/>
        <v>562833.4411207609</v>
      </c>
      <c r="N35" s="90"/>
      <c r="O35" s="279">
        <f t="shared" si="2"/>
        <v>5282.078113906668</v>
      </c>
      <c r="Q35" s="118">
        <v>30</v>
      </c>
      <c r="R35" s="110">
        <f>Darlehen!T369</f>
        <v>0</v>
      </c>
      <c r="S35" s="111">
        <f>Energie!C40</f>
        <v>3634.1711043149603</v>
      </c>
      <c r="T35" s="111">
        <f>Energie!L40</f>
        <v>153.99805127988733</v>
      </c>
      <c r="U35" s="112">
        <f t="shared" si="3"/>
        <v>3788.169155594848</v>
      </c>
      <c r="V35" s="3"/>
      <c r="W35" s="110">
        <f>Darlehen!W748</f>
        <v>0</v>
      </c>
      <c r="X35" s="113">
        <f>Energie!D40</f>
        <v>1228.7521876920357</v>
      </c>
      <c r="Y35" s="111">
        <f>Energie!M40</f>
        <v>254.09678461181394</v>
      </c>
      <c r="Z35" s="113">
        <f t="shared" si="4"/>
        <v>1482.8489723038497</v>
      </c>
      <c r="AA35" s="90"/>
      <c r="AB35" s="279">
        <f t="shared" si="5"/>
        <v>2305.320183290998</v>
      </c>
      <c r="AD35" s="113"/>
      <c r="AE35" s="113"/>
      <c r="AF35" s="113"/>
      <c r="AG35" s="113"/>
      <c r="AH35" s="113"/>
      <c r="AI35" s="113"/>
      <c r="AJ35" s="3"/>
      <c r="AK35" s="113"/>
      <c r="AL35" s="113"/>
      <c r="AM35" s="113"/>
      <c r="AN35" s="113"/>
      <c r="AO35" s="113"/>
    </row>
    <row r="36" spans="2:41" ht="12.75">
      <c r="B36" s="118">
        <v>31</v>
      </c>
      <c r="C36" s="110">
        <f>C35</f>
        <v>505702.2279074476</v>
      </c>
      <c r="D36" s="111">
        <f>SUM(Energie!C$41:C42)</f>
        <v>62475.302850144886</v>
      </c>
      <c r="E36" s="111">
        <f>SUM(Energie!L$41:L42)</f>
        <v>3910.176158654792</v>
      </c>
      <c r="F36" s="112">
        <f t="shared" si="6"/>
        <v>572087.7069162473</v>
      </c>
      <c r="G36" s="3"/>
      <c r="H36" s="110">
        <f>H35</f>
        <v>482946.8702407023</v>
      </c>
      <c r="I36" s="113">
        <f>I35</f>
        <v>53859.308983714676</v>
      </c>
      <c r="J36" s="113">
        <f t="shared" si="0"/>
        <v>536806.179224417</v>
      </c>
      <c r="K36" s="111">
        <f>SUM(Energie!D$41:D42)</f>
        <v>21123.569268021158</v>
      </c>
      <c r="L36" s="111">
        <f>SUM(Energie!M$41:M42)</f>
        <v>6451.790661780405</v>
      </c>
      <c r="M36" s="113">
        <f t="shared" si="1"/>
        <v>564381.5391542185</v>
      </c>
      <c r="N36" s="90"/>
      <c r="O36" s="279">
        <f>SUM(F36-M36)</f>
        <v>7706.167762028752</v>
      </c>
      <c r="Q36" s="118">
        <v>31</v>
      </c>
      <c r="R36" s="105"/>
      <c r="S36" s="111">
        <f>Energie!C42</f>
        <v>3815.8796595307085</v>
      </c>
      <c r="T36" s="111">
        <f>Energie!L42</f>
        <v>156.30802204908565</v>
      </c>
      <c r="U36" s="112">
        <f t="shared" si="3"/>
        <v>3972.187681579794</v>
      </c>
      <c r="V36" s="3"/>
      <c r="W36" s="110">
        <f>Darlehen!W760</f>
        <v>0</v>
      </c>
      <c r="X36" s="113">
        <f>Energie!D42</f>
        <v>1290.1897970766374</v>
      </c>
      <c r="Y36" s="111">
        <f>Energie!M42</f>
        <v>257.9082363809911</v>
      </c>
      <c r="Z36" s="113">
        <f t="shared" si="4"/>
        <v>1548.0980334576286</v>
      </c>
      <c r="AA36" s="90"/>
      <c r="AB36" s="279">
        <f t="shared" si="5"/>
        <v>2424.0896481221653</v>
      </c>
      <c r="AD36" s="3"/>
      <c r="AE36" s="3"/>
      <c r="AF36" s="3"/>
      <c r="AG36" s="3"/>
      <c r="AH36" s="3"/>
      <c r="AI36" s="3"/>
      <c r="AJ36" s="3"/>
      <c r="AK36" s="113"/>
      <c r="AL36" s="113"/>
      <c r="AM36" s="113"/>
      <c r="AN36" s="113"/>
      <c r="AO36" s="113"/>
    </row>
    <row r="37" spans="2:41" ht="12.75">
      <c r="B37" s="118">
        <v>32</v>
      </c>
      <c r="C37" s="110">
        <f aca="true" t="shared" si="7" ref="C37:C55">C36</f>
        <v>505702.2279074476</v>
      </c>
      <c r="D37" s="111">
        <f>SUM(Energie!C$41:C43)</f>
        <v>66481.97649265213</v>
      </c>
      <c r="E37" s="111">
        <f>SUM(Energie!L$41:L43)</f>
        <v>4068.8288010346137</v>
      </c>
      <c r="F37" s="112">
        <f t="shared" si="6"/>
        <v>576253.0332011343</v>
      </c>
      <c r="G37" s="3"/>
      <c r="H37" s="110">
        <f aca="true" t="shared" si="8" ref="H37:H55">H36</f>
        <v>482946.8702407023</v>
      </c>
      <c r="I37" s="113">
        <f aca="true" t="shared" si="9" ref="I37:I55">I36</f>
        <v>53859.308983714676</v>
      </c>
      <c r="J37" s="113">
        <f t="shared" si="0"/>
        <v>536806.179224417</v>
      </c>
      <c r="K37" s="111">
        <f>SUM(Energie!D$41:D43)</f>
        <v>22478.268554951628</v>
      </c>
      <c r="L37" s="111">
        <f>SUM(Energie!M$41:M43)</f>
        <v>6713.56752170711</v>
      </c>
      <c r="M37" s="113">
        <f t="shared" si="1"/>
        <v>565998.0153010758</v>
      </c>
      <c r="N37" s="90"/>
      <c r="O37" s="279">
        <f t="shared" si="2"/>
        <v>10255.017900058534</v>
      </c>
      <c r="Q37" s="118">
        <v>32</v>
      </c>
      <c r="R37" s="105"/>
      <c r="S37" s="111">
        <f>Energie!C43</f>
        <v>4006.673642507244</v>
      </c>
      <c r="T37" s="111">
        <f>Energie!L43</f>
        <v>158.65264237982194</v>
      </c>
      <c r="U37" s="112">
        <f t="shared" si="3"/>
        <v>4165.326284887066</v>
      </c>
      <c r="V37" s="3"/>
      <c r="W37" s="110">
        <f>Darlehen!W772</f>
        <v>0</v>
      </c>
      <c r="X37" s="113">
        <f>Energie!D43</f>
        <v>1354.6992869304693</v>
      </c>
      <c r="Y37" s="111">
        <f>Energie!M43</f>
        <v>261.776859926706</v>
      </c>
      <c r="Z37" s="113">
        <f t="shared" si="4"/>
        <v>1616.4761468571753</v>
      </c>
      <c r="AA37" s="90"/>
      <c r="AB37" s="279">
        <f>SUM(U37-Z37)</f>
        <v>2548.8501380298912</v>
      </c>
      <c r="AD37" s="3"/>
      <c r="AE37" s="3"/>
      <c r="AF37" s="3"/>
      <c r="AG37" s="3"/>
      <c r="AH37" s="3"/>
      <c r="AI37" s="3"/>
      <c r="AJ37" s="3"/>
      <c r="AK37" s="113"/>
      <c r="AL37" s="113"/>
      <c r="AM37" s="113"/>
      <c r="AN37" s="113"/>
      <c r="AO37" s="113"/>
    </row>
    <row r="38" spans="2:41" ht="12.75">
      <c r="B38" s="118">
        <v>33</v>
      </c>
      <c r="C38" s="110">
        <f t="shared" si="7"/>
        <v>505702.2279074476</v>
      </c>
      <c r="D38" s="111">
        <f>SUM(Energie!C$41:C44)</f>
        <v>70688.98381728474</v>
      </c>
      <c r="E38" s="111">
        <f>SUM(Energie!L$41:L44)</f>
        <v>4229.861233050133</v>
      </c>
      <c r="F38" s="112">
        <f t="shared" si="6"/>
        <v>580621.0729577824</v>
      </c>
      <c r="G38" s="3"/>
      <c r="H38" s="110">
        <f t="shared" si="8"/>
        <v>482946.8702407023</v>
      </c>
      <c r="I38" s="113">
        <f t="shared" si="9"/>
        <v>53859.308983714676</v>
      </c>
      <c r="J38" s="113">
        <f t="shared" si="0"/>
        <v>536806.179224417</v>
      </c>
      <c r="K38" s="111">
        <f>SUM(Energie!D$41:D44)</f>
        <v>23900.70280622862</v>
      </c>
      <c r="L38" s="111">
        <f>SUM(Energie!M$41:M44)</f>
        <v>6979.271034532717</v>
      </c>
      <c r="M38" s="113">
        <f t="shared" si="1"/>
        <v>567686.1530651783</v>
      </c>
      <c r="N38" s="90"/>
      <c r="O38" s="279">
        <f t="shared" si="2"/>
        <v>12934.919892604114</v>
      </c>
      <c r="Q38" s="118">
        <v>33</v>
      </c>
      <c r="R38" s="105"/>
      <c r="S38" s="111">
        <f>Energie!C44</f>
        <v>4207.0073246326065</v>
      </c>
      <c r="T38" s="111">
        <f>Energie!L44</f>
        <v>161.03243201551928</v>
      </c>
      <c r="U38" s="112">
        <f t="shared" si="3"/>
        <v>4368.039756648126</v>
      </c>
      <c r="V38" s="3"/>
      <c r="W38" s="110">
        <f>Darlehen!W784</f>
        <v>0</v>
      </c>
      <c r="X38" s="113">
        <f>Energie!D44</f>
        <v>1422.4342512769927</v>
      </c>
      <c r="Y38" s="111">
        <f>Energie!M44</f>
        <v>265.7035128256066</v>
      </c>
      <c r="Z38" s="113">
        <f t="shared" si="4"/>
        <v>1688.1377641025992</v>
      </c>
      <c r="AA38" s="90"/>
      <c r="AB38" s="279">
        <f t="shared" si="5"/>
        <v>2679.901992545527</v>
      </c>
      <c r="AD38" s="3"/>
      <c r="AE38" s="3"/>
      <c r="AF38" s="3"/>
      <c r="AG38" s="3"/>
      <c r="AH38" s="3"/>
      <c r="AI38" s="3"/>
      <c r="AJ38" s="3"/>
      <c r="AK38" s="113"/>
      <c r="AL38" s="113"/>
      <c r="AM38" s="113"/>
      <c r="AN38" s="113"/>
      <c r="AO38" s="113"/>
    </row>
    <row r="39" spans="2:41" ht="12.75">
      <c r="B39" s="118">
        <v>34</v>
      </c>
      <c r="C39" s="110">
        <f t="shared" si="7"/>
        <v>505702.2279074476</v>
      </c>
      <c r="D39" s="111">
        <f>SUM(Energie!C$41:C45)</f>
        <v>75106.34150814898</v>
      </c>
      <c r="E39" s="111">
        <f>SUM(Energie!L$41:L45)</f>
        <v>4393.309151545885</v>
      </c>
      <c r="F39" s="112">
        <f t="shared" si="6"/>
        <v>585201.8785671424</v>
      </c>
      <c r="G39" s="3"/>
      <c r="H39" s="110">
        <f t="shared" si="8"/>
        <v>482946.8702407023</v>
      </c>
      <c r="I39" s="113">
        <f t="shared" si="9"/>
        <v>53859.308983714676</v>
      </c>
      <c r="J39" s="113">
        <f t="shared" si="0"/>
        <v>536806.179224417</v>
      </c>
      <c r="K39" s="111">
        <f>SUM(Energie!D$41:D45)</f>
        <v>25394.25877006946</v>
      </c>
      <c r="L39" s="111">
        <f>SUM(Energie!M$41:M45)</f>
        <v>7248.960100050707</v>
      </c>
      <c r="M39" s="113">
        <f t="shared" si="1"/>
        <v>569449.3980945371</v>
      </c>
      <c r="N39" s="90"/>
      <c r="O39" s="279">
        <f t="shared" si="2"/>
        <v>15752.480472605326</v>
      </c>
      <c r="Q39" s="118">
        <v>34</v>
      </c>
      <c r="R39" s="105"/>
      <c r="S39" s="111">
        <f>Energie!C45</f>
        <v>4417.357690864237</v>
      </c>
      <c r="T39" s="111">
        <f>Energie!L45</f>
        <v>163.44791849575208</v>
      </c>
      <c r="U39" s="112">
        <f t="shared" si="3"/>
        <v>4580.805609359989</v>
      </c>
      <c r="V39" s="3"/>
      <c r="W39" s="110">
        <f>Darlehen!W796</f>
        <v>0</v>
      </c>
      <c r="X39" s="113">
        <f>Energie!D45</f>
        <v>1493.5559638408422</v>
      </c>
      <c r="Y39" s="111">
        <f>Energie!M45</f>
        <v>269.6890655179907</v>
      </c>
      <c r="Z39" s="113">
        <f t="shared" si="4"/>
        <v>1763.2450293588329</v>
      </c>
      <c r="AA39" s="90"/>
      <c r="AB39" s="279">
        <f t="shared" si="5"/>
        <v>2817.5605800011563</v>
      </c>
      <c r="AD39" s="3"/>
      <c r="AE39" s="3"/>
      <c r="AF39" s="3"/>
      <c r="AG39" s="3"/>
      <c r="AH39" s="3"/>
      <c r="AI39" s="3"/>
      <c r="AJ39" s="3"/>
      <c r="AK39" s="113"/>
      <c r="AL39" s="113"/>
      <c r="AM39" s="113"/>
      <c r="AN39" s="113"/>
      <c r="AO39" s="113"/>
    </row>
    <row r="40" spans="2:41" ht="12.75">
      <c r="B40" s="118">
        <v>35</v>
      </c>
      <c r="C40" s="110">
        <f t="shared" si="7"/>
        <v>505702.2279074476</v>
      </c>
      <c r="D40" s="111">
        <f>SUM(Energie!C$41:C46)</f>
        <v>79744.56708355642</v>
      </c>
      <c r="E40" s="111">
        <f>SUM(Energie!L$41:L46)</f>
        <v>4559.208788819073</v>
      </c>
      <c r="F40" s="112">
        <f t="shared" si="6"/>
        <v>590006.0037798231</v>
      </c>
      <c r="G40" s="3"/>
      <c r="H40" s="110">
        <f t="shared" si="8"/>
        <v>482946.8702407023</v>
      </c>
      <c r="I40" s="113">
        <f t="shared" si="9"/>
        <v>53859.308983714676</v>
      </c>
      <c r="J40" s="113">
        <f t="shared" si="0"/>
        <v>536806.179224417</v>
      </c>
      <c r="K40" s="111">
        <f>SUM(Energie!D$41:D46)</f>
        <v>26962.492532102344</v>
      </c>
      <c r="L40" s="111">
        <f>SUM(Energie!M$41:M46)</f>
        <v>7522.6945015514675</v>
      </c>
      <c r="M40" s="113">
        <f t="shared" si="1"/>
        <v>571291.3662580708</v>
      </c>
      <c r="N40" s="90"/>
      <c r="O40" s="279">
        <f t="shared" si="2"/>
        <v>18714.637521752273</v>
      </c>
      <c r="Q40" s="118">
        <v>35</v>
      </c>
      <c r="R40" s="105"/>
      <c r="S40" s="111">
        <f>Energie!C46</f>
        <v>4638.225575407449</v>
      </c>
      <c r="T40" s="111">
        <f>Energie!L46</f>
        <v>165.89963727318835</v>
      </c>
      <c r="U40" s="112">
        <f t="shared" si="3"/>
        <v>4804.125212680637</v>
      </c>
      <c r="V40" s="3"/>
      <c r="W40" s="110">
        <f>Darlehen!W808</f>
        <v>0</v>
      </c>
      <c r="X40" s="113">
        <f>Energie!D46</f>
        <v>1568.2337620328842</v>
      </c>
      <c r="Y40" s="111">
        <f>Energie!M46</f>
        <v>273.73440150076055</v>
      </c>
      <c r="Z40" s="113">
        <f t="shared" si="4"/>
        <v>1841.9681635336447</v>
      </c>
      <c r="AA40" s="90"/>
      <c r="AB40" s="279">
        <f t="shared" si="5"/>
        <v>2962.157049146992</v>
      </c>
      <c r="AD40" s="3"/>
      <c r="AE40" s="3"/>
      <c r="AF40" s="3"/>
      <c r="AG40" s="3"/>
      <c r="AH40" s="3"/>
      <c r="AI40" s="3"/>
      <c r="AJ40" s="3"/>
      <c r="AK40" s="113"/>
      <c r="AL40" s="113"/>
      <c r="AM40" s="113"/>
      <c r="AN40" s="113"/>
      <c r="AO40" s="113"/>
    </row>
    <row r="41" spans="2:41" ht="12.75">
      <c r="B41" s="118">
        <v>36</v>
      </c>
      <c r="C41" s="110">
        <f t="shared" si="7"/>
        <v>505702.2279074476</v>
      </c>
      <c r="D41" s="111">
        <f>SUM(Energie!C$41:C47)</f>
        <v>84614.70393773424</v>
      </c>
      <c r="E41" s="111">
        <f>SUM(Energie!L$41:L47)</f>
        <v>4727.596920651359</v>
      </c>
      <c r="F41" s="112">
        <f t="shared" si="6"/>
        <v>595044.5287658332</v>
      </c>
      <c r="G41" s="3"/>
      <c r="H41" s="110">
        <f t="shared" si="8"/>
        <v>482946.8702407023</v>
      </c>
      <c r="I41" s="113">
        <f t="shared" si="9"/>
        <v>53859.308983714676</v>
      </c>
      <c r="J41" s="113">
        <f t="shared" si="0"/>
        <v>536806.179224417</v>
      </c>
      <c r="K41" s="111">
        <f>SUM(Energie!D$41:D47)</f>
        <v>28609.137982236873</v>
      </c>
      <c r="L41" s="111">
        <f>SUM(Energie!M$41:M47)</f>
        <v>7800.534919074739</v>
      </c>
      <c r="M41" s="113">
        <f t="shared" si="1"/>
        <v>573215.8521257286</v>
      </c>
      <c r="N41" s="90"/>
      <c r="O41" s="279">
        <f t="shared" si="2"/>
        <v>21828.67664010462</v>
      </c>
      <c r="Q41" s="118">
        <v>36</v>
      </c>
      <c r="R41" s="105"/>
      <c r="S41" s="111">
        <f>Energie!C47</f>
        <v>4870.136854177821</v>
      </c>
      <c r="T41" s="111">
        <f>Energie!L47</f>
        <v>168.38813183228618</v>
      </c>
      <c r="U41" s="112">
        <f t="shared" si="3"/>
        <v>5038.524986010108</v>
      </c>
      <c r="V41" s="3"/>
      <c r="W41" s="110">
        <f>Darlehen!W820</f>
        <v>0</v>
      </c>
      <c r="X41" s="113">
        <f>Energie!D47</f>
        <v>1646.6454501345283</v>
      </c>
      <c r="Y41" s="111">
        <f>Energie!M47</f>
        <v>277.840417523272</v>
      </c>
      <c r="Z41" s="113">
        <f t="shared" si="4"/>
        <v>1924.4858676578003</v>
      </c>
      <c r="AA41" s="90"/>
      <c r="AB41" s="279">
        <f t="shared" si="5"/>
        <v>3114.039118352307</v>
      </c>
      <c r="AD41" s="3"/>
      <c r="AE41" s="3"/>
      <c r="AF41" s="3"/>
      <c r="AG41" s="3"/>
      <c r="AH41" s="3"/>
      <c r="AI41" s="3"/>
      <c r="AJ41" s="3"/>
      <c r="AK41" s="113"/>
      <c r="AL41" s="113"/>
      <c r="AM41" s="113"/>
      <c r="AN41" s="113"/>
      <c r="AO41" s="113"/>
    </row>
    <row r="42" spans="2:41" ht="12.75">
      <c r="B42" s="118">
        <v>37</v>
      </c>
      <c r="C42" s="110">
        <f t="shared" si="7"/>
        <v>505702.2279074476</v>
      </c>
      <c r="D42" s="111">
        <f>SUM(Energie!C$41:C48)</f>
        <v>89728.34763462095</v>
      </c>
      <c r="E42" s="111">
        <f>SUM(Energie!L$41:L48)</f>
        <v>4898.51087446113</v>
      </c>
      <c r="F42" s="112">
        <f t="shared" si="6"/>
        <v>600329.0864165297</v>
      </c>
      <c r="G42" s="3"/>
      <c r="H42" s="110">
        <f t="shared" si="8"/>
        <v>482946.8702407023</v>
      </c>
      <c r="I42" s="113">
        <f t="shared" si="9"/>
        <v>53859.308983714676</v>
      </c>
      <c r="J42" s="113">
        <f t="shared" si="0"/>
        <v>536806.179224417</v>
      </c>
      <c r="K42" s="111">
        <f>SUM(Energie!D$41:D48)</f>
        <v>30338.115704878128</v>
      </c>
      <c r="L42" s="111">
        <f>SUM(Energie!M$41:M48)</f>
        <v>8082.54294286086</v>
      </c>
      <c r="M42" s="113">
        <f t="shared" si="1"/>
        <v>575226.837872156</v>
      </c>
      <c r="N42" s="90"/>
      <c r="O42" s="279">
        <f t="shared" si="2"/>
        <v>25102.248544373782</v>
      </c>
      <c r="Q42" s="118">
        <v>37</v>
      </c>
      <c r="R42" s="105"/>
      <c r="S42" s="111">
        <f>Energie!C48</f>
        <v>5113.643696886712</v>
      </c>
      <c r="T42" s="111">
        <f>Energie!L48</f>
        <v>170.91395380977048</v>
      </c>
      <c r="U42" s="112">
        <f t="shared" si="3"/>
        <v>5284.557650696483</v>
      </c>
      <c r="V42" s="3"/>
      <c r="W42" s="110">
        <f>Darlehen!W832</f>
        <v>0</v>
      </c>
      <c r="X42" s="113">
        <f>Energie!D48</f>
        <v>1728.9777226412548</v>
      </c>
      <c r="Y42" s="111">
        <f>Energie!M48</f>
        <v>282.00802378612104</v>
      </c>
      <c r="Z42" s="113">
        <f t="shared" si="4"/>
        <v>2010.985746427376</v>
      </c>
      <c r="AA42" s="90"/>
      <c r="AB42" s="279">
        <f t="shared" si="5"/>
        <v>3273.5719042691067</v>
      </c>
      <c r="AD42" s="3"/>
      <c r="AE42" s="3"/>
      <c r="AF42" s="3"/>
      <c r="AG42" s="3"/>
      <c r="AH42" s="3"/>
      <c r="AI42" s="3"/>
      <c r="AJ42" s="3"/>
      <c r="AK42" s="113"/>
      <c r="AL42" s="113"/>
      <c r="AM42" s="113"/>
      <c r="AN42" s="113"/>
      <c r="AO42" s="113"/>
    </row>
    <row r="43" spans="2:41" ht="12.75">
      <c r="B43" s="118">
        <v>38</v>
      </c>
      <c r="C43" s="110">
        <f t="shared" si="7"/>
        <v>505702.2279074476</v>
      </c>
      <c r="D43" s="111">
        <f>SUM(Energie!C$41:C49)</f>
        <v>95097.67351635199</v>
      </c>
      <c r="E43" s="111">
        <f>SUM(Energie!L$41:L49)</f>
        <v>5071.988537578047</v>
      </c>
      <c r="F43" s="112">
        <f t="shared" si="6"/>
        <v>605871.8899613776</v>
      </c>
      <c r="G43" s="3"/>
      <c r="H43" s="110">
        <f t="shared" si="8"/>
        <v>482946.8702407023</v>
      </c>
      <c r="I43" s="113">
        <f t="shared" si="9"/>
        <v>53859.308983714676</v>
      </c>
      <c r="J43" s="113">
        <f t="shared" si="0"/>
        <v>536806.179224417</v>
      </c>
      <c r="K43" s="111">
        <f>SUM(Energie!D$41:D49)</f>
        <v>32153.542313651444</v>
      </c>
      <c r="L43" s="111">
        <f>SUM(Energie!M$41:M49)</f>
        <v>8368.781087003774</v>
      </c>
      <c r="M43" s="113">
        <f t="shared" si="1"/>
        <v>577328.5026250721</v>
      </c>
      <c r="N43" s="90"/>
      <c r="O43" s="279">
        <f t="shared" si="2"/>
        <v>28543.38733630546</v>
      </c>
      <c r="Q43" s="118">
        <v>38</v>
      </c>
      <c r="R43" s="105"/>
      <c r="S43" s="111">
        <f>Energie!C49</f>
        <v>5369.325881731048</v>
      </c>
      <c r="T43" s="111">
        <f>Energie!L49</f>
        <v>173.47766311691703</v>
      </c>
      <c r="U43" s="112">
        <f t="shared" si="3"/>
        <v>5542.803544847965</v>
      </c>
      <c r="V43" s="3"/>
      <c r="W43" s="110"/>
      <c r="X43" s="113">
        <f>Energie!D49</f>
        <v>1815.4266087733176</v>
      </c>
      <c r="Y43" s="111">
        <f>Energie!M49</f>
        <v>286.23814414291286</v>
      </c>
      <c r="Z43" s="113">
        <f t="shared" si="4"/>
        <v>2101.6647529162306</v>
      </c>
      <c r="AA43" s="90"/>
      <c r="AB43" s="279">
        <f t="shared" si="5"/>
        <v>3441.1387919317344</v>
      </c>
      <c r="AD43" s="3"/>
      <c r="AE43" s="3"/>
      <c r="AF43" s="3"/>
      <c r="AG43" s="3"/>
      <c r="AH43" s="3"/>
      <c r="AI43" s="3"/>
      <c r="AJ43" s="3"/>
      <c r="AK43" s="113"/>
      <c r="AL43" s="113"/>
      <c r="AM43" s="113"/>
      <c r="AN43" s="113"/>
      <c r="AO43" s="113"/>
    </row>
    <row r="44" spans="2:41" ht="12.75">
      <c r="B44" s="118">
        <v>39</v>
      </c>
      <c r="C44" s="110">
        <f t="shared" si="7"/>
        <v>505702.2279074476</v>
      </c>
      <c r="D44" s="111">
        <f>SUM(Energie!C$41:C50)</f>
        <v>100735.46569216959</v>
      </c>
      <c r="E44" s="111">
        <f>SUM(Energie!L$41:L50)</f>
        <v>5248.068365641718</v>
      </c>
      <c r="F44" s="112">
        <f t="shared" si="6"/>
        <v>611685.761965259</v>
      </c>
      <c r="G44" s="3"/>
      <c r="H44" s="110">
        <f t="shared" si="8"/>
        <v>482946.8702407023</v>
      </c>
      <c r="I44" s="113">
        <f t="shared" si="9"/>
        <v>53859.308983714676</v>
      </c>
      <c r="J44" s="113">
        <f t="shared" si="0"/>
        <v>536806.179224417</v>
      </c>
      <c r="K44" s="111">
        <f>SUM(Energie!D$41:D50)</f>
        <v>34059.74025286343</v>
      </c>
      <c r="L44" s="111">
        <f>SUM(Energie!M$41:M50)</f>
        <v>8659.31280330883</v>
      </c>
      <c r="M44" s="113">
        <f t="shared" si="1"/>
        <v>579525.2322805892</v>
      </c>
      <c r="N44" s="90"/>
      <c r="O44" s="279">
        <f t="shared" si="2"/>
        <v>32160.529684669804</v>
      </c>
      <c r="Q44" s="118">
        <v>39</v>
      </c>
      <c r="R44" s="105"/>
      <c r="S44" s="111">
        <f>Energie!C50</f>
        <v>5637.792175817601</v>
      </c>
      <c r="T44" s="111">
        <f>Energie!L50</f>
        <v>176.0798280636708</v>
      </c>
      <c r="U44" s="112">
        <f t="shared" si="3"/>
        <v>5813.872003881272</v>
      </c>
      <c r="V44" s="3"/>
      <c r="W44" s="110"/>
      <c r="X44" s="113">
        <f>Energie!D50</f>
        <v>1906.1979392119836</v>
      </c>
      <c r="Y44" s="111">
        <f>Energie!M50</f>
        <v>290.53171630505653</v>
      </c>
      <c r="Z44" s="113">
        <f t="shared" si="4"/>
        <v>2196.72965551704</v>
      </c>
      <c r="AA44" s="90"/>
      <c r="AB44" s="279">
        <f t="shared" si="5"/>
        <v>3617.1423483642316</v>
      </c>
      <c r="AD44" s="3"/>
      <c r="AE44" s="3"/>
      <c r="AF44" s="3"/>
      <c r="AG44" s="3"/>
      <c r="AH44" s="3"/>
      <c r="AI44" s="3"/>
      <c r="AJ44" s="3"/>
      <c r="AK44" s="113"/>
      <c r="AL44" s="113"/>
      <c r="AM44" s="113"/>
      <c r="AN44" s="113"/>
      <c r="AO44" s="113"/>
    </row>
    <row r="45" spans="2:41" ht="12.75">
      <c r="B45" s="118">
        <v>40</v>
      </c>
      <c r="C45" s="110">
        <f t="shared" si="7"/>
        <v>505702.2279074476</v>
      </c>
      <c r="D45" s="111">
        <f>SUM(Energie!C$41:C51)</f>
        <v>106655.14747677806</v>
      </c>
      <c r="E45" s="111">
        <f>SUM(Energie!L$41:L51)</f>
        <v>5426.789391126344</v>
      </c>
      <c r="F45" s="112">
        <f t="shared" si="6"/>
        <v>617784.164775352</v>
      </c>
      <c r="G45" s="3"/>
      <c r="H45" s="110">
        <f t="shared" si="8"/>
        <v>482946.8702407023</v>
      </c>
      <c r="I45" s="113">
        <f t="shared" si="9"/>
        <v>53859.308983714676</v>
      </c>
      <c r="J45" s="113">
        <f t="shared" si="0"/>
        <v>536806.179224417</v>
      </c>
      <c r="K45" s="111">
        <f>SUM(Energie!D$41:D51)</f>
        <v>36061.24808903601</v>
      </c>
      <c r="L45" s="111">
        <f>SUM(Energie!M$41:M51)</f>
        <v>8954.202495358462</v>
      </c>
      <c r="M45" s="113">
        <f t="shared" si="1"/>
        <v>581821.6298088114</v>
      </c>
      <c r="N45" s="90"/>
      <c r="O45" s="279">
        <f t="shared" si="2"/>
        <v>35962.53496654064</v>
      </c>
      <c r="Q45" s="118">
        <v>40</v>
      </c>
      <c r="R45" s="105"/>
      <c r="S45" s="111">
        <f>Energie!C51</f>
        <v>5919.6817846084805</v>
      </c>
      <c r="T45" s="111">
        <f>Energie!L51</f>
        <v>178.72102548462584</v>
      </c>
      <c r="U45" s="112">
        <f t="shared" si="3"/>
        <v>6098.402810093106</v>
      </c>
      <c r="V45" s="3"/>
      <c r="W45" s="110"/>
      <c r="X45" s="113">
        <f>Energie!D51</f>
        <v>2001.5078361725828</v>
      </c>
      <c r="Y45" s="111">
        <f>Energie!M51</f>
        <v>294.8896920496324</v>
      </c>
      <c r="Z45" s="113">
        <f t="shared" si="4"/>
        <v>2296.397528222215</v>
      </c>
      <c r="AA45" s="90"/>
      <c r="AB45" s="279">
        <f t="shared" si="5"/>
        <v>3802.0052818708914</v>
      </c>
      <c r="AD45" s="3"/>
      <c r="AE45" s="3"/>
      <c r="AF45" s="3"/>
      <c r="AG45" s="3"/>
      <c r="AH45" s="3"/>
      <c r="AI45" s="3"/>
      <c r="AJ45" s="3"/>
      <c r="AK45" s="113"/>
      <c r="AL45" s="113"/>
      <c r="AM45" s="113"/>
      <c r="AN45" s="113"/>
      <c r="AO45" s="113"/>
    </row>
    <row r="46" spans="2:41" ht="12.75">
      <c r="B46" s="118">
        <v>41</v>
      </c>
      <c r="C46" s="110">
        <f t="shared" si="7"/>
        <v>505702.2279074476</v>
      </c>
      <c r="D46" s="111">
        <f>SUM(Energie!C$52:C53)</f>
        <v>112870.81335061697</v>
      </c>
      <c r="E46" s="111">
        <f>SUM(Energie!L$52:L53)</f>
        <v>5608.191231993239</v>
      </c>
      <c r="F46" s="112">
        <f t="shared" si="6"/>
        <v>624181.2324900578</v>
      </c>
      <c r="G46" s="3"/>
      <c r="H46" s="110">
        <f t="shared" si="8"/>
        <v>482946.8702407023</v>
      </c>
      <c r="I46" s="113">
        <f t="shared" si="9"/>
        <v>53859.308983714676</v>
      </c>
      <c r="J46" s="113">
        <f t="shared" si="0"/>
        <v>536806.179224417</v>
      </c>
      <c r="K46" s="111">
        <f>SUM(Energie!D$52:D53)</f>
        <v>38162.83131701722</v>
      </c>
      <c r="L46" s="111">
        <f>SUM(Energie!M$52:M53)</f>
        <v>9253.515532788839</v>
      </c>
      <c r="M46" s="113">
        <f t="shared" si="1"/>
        <v>584222.526074223</v>
      </c>
      <c r="N46" s="90"/>
      <c r="O46" s="279">
        <f t="shared" si="2"/>
        <v>39958.70641583484</v>
      </c>
      <c r="Q46" s="118">
        <v>41</v>
      </c>
      <c r="R46" s="105"/>
      <c r="S46" s="111">
        <f>Energie!C53</f>
        <v>6215.665873838904</v>
      </c>
      <c r="T46" s="111">
        <f>Energie!L53</f>
        <v>181.40184086689524</v>
      </c>
      <c r="U46" s="112">
        <f t="shared" si="3"/>
        <v>6397.0677147057995</v>
      </c>
      <c r="V46" s="3"/>
      <c r="W46" s="110"/>
      <c r="X46" s="113">
        <f>Energie!D53</f>
        <v>2101.583227981212</v>
      </c>
      <c r="Y46" s="111">
        <f>Energie!M53</f>
        <v>299.3130374303769</v>
      </c>
      <c r="Z46" s="113">
        <f t="shared" si="4"/>
        <v>2400.896265411589</v>
      </c>
      <c r="AA46" s="90"/>
      <c r="AB46" s="279">
        <f t="shared" si="5"/>
        <v>3996.1714492942106</v>
      </c>
      <c r="AD46" s="3"/>
      <c r="AE46" s="3"/>
      <c r="AF46" s="3"/>
      <c r="AG46" s="3"/>
      <c r="AH46" s="3"/>
      <c r="AI46" s="3"/>
      <c r="AJ46" s="3"/>
      <c r="AK46" s="113"/>
      <c r="AL46" s="113"/>
      <c r="AM46" s="113"/>
      <c r="AN46" s="113"/>
      <c r="AO46" s="113"/>
    </row>
    <row r="47" spans="2:41" ht="12.75">
      <c r="B47" s="118">
        <v>42</v>
      </c>
      <c r="C47" s="110">
        <f t="shared" si="7"/>
        <v>505702.2279074476</v>
      </c>
      <c r="D47" s="111">
        <f>SUM(Energie!C$52:C54)</f>
        <v>119397.26251814782</v>
      </c>
      <c r="E47" s="111">
        <f>SUM(Energie!L$52:L54)</f>
        <v>5792.314100473138</v>
      </c>
      <c r="F47" s="112">
        <f t="shared" si="6"/>
        <v>630891.8045260686</v>
      </c>
      <c r="G47" s="3"/>
      <c r="H47" s="110">
        <f t="shared" si="8"/>
        <v>482946.8702407023</v>
      </c>
      <c r="I47" s="113">
        <f t="shared" si="9"/>
        <v>53859.308983714676</v>
      </c>
      <c r="J47" s="113">
        <f t="shared" si="0"/>
        <v>536806.179224417</v>
      </c>
      <c r="K47" s="111">
        <f>SUM(Energie!D$52:D54)</f>
        <v>40369.493706397494</v>
      </c>
      <c r="L47" s="111">
        <f>SUM(Energie!M$52:M54)</f>
        <v>9557.318265780672</v>
      </c>
      <c r="M47" s="113">
        <f t="shared" si="1"/>
        <v>586732.9911965951</v>
      </c>
      <c r="N47" s="90"/>
      <c r="O47" s="279">
        <f t="shared" si="2"/>
        <v>44158.81332947349</v>
      </c>
      <c r="Q47" s="118">
        <v>42</v>
      </c>
      <c r="R47" s="105"/>
      <c r="S47" s="111">
        <f>Energie!C54</f>
        <v>6526.449167530849</v>
      </c>
      <c r="T47" s="111">
        <f>Energie!L54</f>
        <v>184.12286847989867</v>
      </c>
      <c r="U47" s="112">
        <f t="shared" si="3"/>
        <v>6710.572036010748</v>
      </c>
      <c r="V47" s="3"/>
      <c r="W47" s="110"/>
      <c r="X47" s="113">
        <f>Energie!D54</f>
        <v>2206.6623893802725</v>
      </c>
      <c r="Y47" s="111">
        <f>Energie!M54</f>
        <v>303.80273299183256</v>
      </c>
      <c r="Z47" s="113">
        <f t="shared" si="4"/>
        <v>2510.4651223721053</v>
      </c>
      <c r="AA47" s="90"/>
      <c r="AB47" s="279">
        <f t="shared" si="5"/>
        <v>4200.106913638643</v>
      </c>
      <c r="AD47" s="3"/>
      <c r="AE47" s="3"/>
      <c r="AF47" s="3"/>
      <c r="AG47" s="3"/>
      <c r="AH47" s="3"/>
      <c r="AI47" s="3"/>
      <c r="AJ47" s="3"/>
      <c r="AK47" s="113"/>
      <c r="AL47" s="113"/>
      <c r="AM47" s="113"/>
      <c r="AN47" s="113"/>
      <c r="AO47" s="113"/>
    </row>
    <row r="48" spans="2:41" ht="12.75">
      <c r="B48" s="118">
        <v>43</v>
      </c>
      <c r="C48" s="110">
        <f t="shared" si="7"/>
        <v>505702.2279074476</v>
      </c>
      <c r="D48" s="111">
        <f>SUM(Energie!C$52:C55)</f>
        <v>126250.03414405521</v>
      </c>
      <c r="E48" s="111">
        <f>SUM(Energie!L$52:L55)</f>
        <v>5979.198811980235</v>
      </c>
      <c r="F48" s="112">
        <f t="shared" si="6"/>
        <v>637931.460863483</v>
      </c>
      <c r="G48" s="3"/>
      <c r="H48" s="110">
        <f t="shared" si="8"/>
        <v>482946.8702407023</v>
      </c>
      <c r="I48" s="113">
        <f t="shared" si="9"/>
        <v>53859.308983714676</v>
      </c>
      <c r="J48" s="113">
        <f t="shared" si="0"/>
        <v>536806.179224417</v>
      </c>
      <c r="K48" s="111">
        <f>SUM(Energie!D$52:D55)</f>
        <v>42686.48921524678</v>
      </c>
      <c r="L48" s="111">
        <f>SUM(Energie!M$52:M55)</f>
        <v>9865.678039767383</v>
      </c>
      <c r="M48" s="113">
        <f t="shared" si="1"/>
        <v>589358.3464794311</v>
      </c>
      <c r="N48" s="90"/>
      <c r="O48" s="279">
        <f t="shared" si="2"/>
        <v>48573.11438405188</v>
      </c>
      <c r="Q48" s="118">
        <v>43</v>
      </c>
      <c r="R48" s="105"/>
      <c r="S48" s="111">
        <f>Energie!C55</f>
        <v>6852.771625907391</v>
      </c>
      <c r="T48" s="111">
        <f>Energie!L55</f>
        <v>186.88471150709714</v>
      </c>
      <c r="U48" s="112">
        <f t="shared" si="3"/>
        <v>7039.656337414489</v>
      </c>
      <c r="V48" s="3"/>
      <c r="W48" s="110"/>
      <c r="X48" s="113">
        <f>Energie!D55</f>
        <v>2316.995508849286</v>
      </c>
      <c r="Y48" s="111">
        <f>Energie!M55</f>
        <v>308.35977398671</v>
      </c>
      <c r="Z48" s="113">
        <f t="shared" si="4"/>
        <v>2625.355282835996</v>
      </c>
      <c r="AA48" s="90"/>
      <c r="AB48" s="279">
        <f t="shared" si="5"/>
        <v>4414.301054578493</v>
      </c>
      <c r="AD48" s="3"/>
      <c r="AE48" s="3"/>
      <c r="AF48" s="3"/>
      <c r="AG48" s="3"/>
      <c r="AH48" s="3"/>
      <c r="AI48" s="3"/>
      <c r="AJ48" s="3"/>
      <c r="AK48" s="113"/>
      <c r="AL48" s="113"/>
      <c r="AM48" s="113"/>
      <c r="AN48" s="113"/>
      <c r="AO48" s="113"/>
    </row>
    <row r="49" spans="2:41" ht="12.75">
      <c r="B49" s="118">
        <v>44</v>
      </c>
      <c r="C49" s="110">
        <f t="shared" si="7"/>
        <v>505702.2279074476</v>
      </c>
      <c r="D49" s="111">
        <f>SUM(Energie!C$52:C56)</f>
        <v>133445.444351258</v>
      </c>
      <c r="E49" s="111">
        <f>SUM(Energie!L$52:L56)</f>
        <v>6168.886794159939</v>
      </c>
      <c r="F49" s="112">
        <f t="shared" si="6"/>
        <v>645316.5590528655</v>
      </c>
      <c r="G49" s="3"/>
      <c r="H49" s="110">
        <f t="shared" si="8"/>
        <v>482946.8702407023</v>
      </c>
      <c r="I49" s="113">
        <f t="shared" si="9"/>
        <v>53859.308983714676</v>
      </c>
      <c r="J49" s="113">
        <f t="shared" si="0"/>
        <v>536806.179224417</v>
      </c>
      <c r="K49" s="111">
        <f>SUM(Energie!D$52:D56)</f>
        <v>45119.33449953853</v>
      </c>
      <c r="L49" s="111">
        <f>SUM(Energie!M$52:M56)</f>
        <v>10178.663210363893</v>
      </c>
      <c r="M49" s="113">
        <f t="shared" si="1"/>
        <v>592104.1769343194</v>
      </c>
      <c r="N49" s="90"/>
      <c r="O49" s="279">
        <f t="shared" si="2"/>
        <v>53212.382118546055</v>
      </c>
      <c r="Q49" s="118">
        <v>44</v>
      </c>
      <c r="R49" s="105"/>
      <c r="S49" s="111">
        <f>Energie!C56</f>
        <v>7195.410207202761</v>
      </c>
      <c r="T49" s="111">
        <f>Energie!L56</f>
        <v>189.6879821797036</v>
      </c>
      <c r="U49" s="112">
        <f t="shared" si="3"/>
        <v>7385.098189382465</v>
      </c>
      <c r="V49" s="3"/>
      <c r="W49" s="110"/>
      <c r="X49" s="113">
        <f>Energie!D56</f>
        <v>2432.8452842917504</v>
      </c>
      <c r="Y49" s="111">
        <f>Energie!M56</f>
        <v>312.98517059651067</v>
      </c>
      <c r="Z49" s="113">
        <f t="shared" si="4"/>
        <v>2745.830454888261</v>
      </c>
      <c r="AA49" s="90"/>
      <c r="AB49" s="279">
        <f t="shared" si="5"/>
        <v>4639.267734494204</v>
      </c>
      <c r="AD49" s="3"/>
      <c r="AE49" s="3"/>
      <c r="AF49" s="3"/>
      <c r="AG49" s="3"/>
      <c r="AH49" s="3"/>
      <c r="AI49" s="3"/>
      <c r="AJ49" s="3"/>
      <c r="AK49" s="113"/>
      <c r="AL49" s="113"/>
      <c r="AM49" s="113"/>
      <c r="AN49" s="113"/>
      <c r="AO49" s="113"/>
    </row>
    <row r="50" spans="2:41" ht="12.75">
      <c r="B50" s="118">
        <v>45</v>
      </c>
      <c r="C50" s="110">
        <f t="shared" si="7"/>
        <v>505702.2279074476</v>
      </c>
      <c r="D50" s="111">
        <f>SUM(Energie!C$52:C57)</f>
        <v>141000.6250688209</v>
      </c>
      <c r="E50" s="111">
        <f>SUM(Energie!L$52:L57)</f>
        <v>6361.420096072338</v>
      </c>
      <c r="F50" s="112">
        <f t="shared" si="6"/>
        <v>653064.2730723409</v>
      </c>
      <c r="G50" s="3"/>
      <c r="H50" s="110">
        <f t="shared" si="8"/>
        <v>482946.8702407023</v>
      </c>
      <c r="I50" s="113">
        <f t="shared" si="9"/>
        <v>53859.308983714676</v>
      </c>
      <c r="J50" s="113">
        <f t="shared" si="0"/>
        <v>536806.179224417</v>
      </c>
      <c r="K50" s="111">
        <f>SUM(Energie!D$52:D57)</f>
        <v>47673.822048044865</v>
      </c>
      <c r="L50" s="111">
        <f>SUM(Energie!M$52:M57)</f>
        <v>10496.343158519352</v>
      </c>
      <c r="M50" s="113">
        <f t="shared" si="1"/>
        <v>594976.3444309812</v>
      </c>
      <c r="N50" s="90"/>
      <c r="O50" s="279">
        <f t="shared" si="2"/>
        <v>58087.92864135967</v>
      </c>
      <c r="Q50" s="118">
        <v>45</v>
      </c>
      <c r="R50" s="105"/>
      <c r="S50" s="111">
        <f>Energie!C57</f>
        <v>7555.180717562899</v>
      </c>
      <c r="T50" s="111">
        <f>Energie!L57</f>
        <v>192.53330191239914</v>
      </c>
      <c r="U50" s="112">
        <f t="shared" si="3"/>
        <v>7747.714019475298</v>
      </c>
      <c r="V50" s="3"/>
      <c r="W50" s="110"/>
      <c r="X50" s="113">
        <f>Energie!D57</f>
        <v>2554.487548506338</v>
      </c>
      <c r="Y50" s="111">
        <f>Energie!M57</f>
        <v>317.6799481554583</v>
      </c>
      <c r="Z50" s="113">
        <f t="shared" si="4"/>
        <v>2872.1674966617966</v>
      </c>
      <c r="AA50" s="90"/>
      <c r="AB50" s="279">
        <f t="shared" si="5"/>
        <v>4875.546522813502</v>
      </c>
      <c r="AD50" s="3"/>
      <c r="AE50" s="3"/>
      <c r="AF50" s="3"/>
      <c r="AG50" s="3"/>
      <c r="AH50" s="3"/>
      <c r="AI50" s="3"/>
      <c r="AJ50" s="3"/>
      <c r="AK50" s="113"/>
      <c r="AL50" s="113"/>
      <c r="AM50" s="113"/>
      <c r="AN50" s="113"/>
      <c r="AO50" s="113"/>
    </row>
    <row r="51" spans="2:41" ht="12.75">
      <c r="B51" s="118">
        <v>46</v>
      </c>
      <c r="C51" s="110">
        <f t="shared" si="7"/>
        <v>505702.2279074476</v>
      </c>
      <c r="D51" s="111">
        <f>SUM(Energie!C$52:C58)</f>
        <v>148933.56482226195</v>
      </c>
      <c r="E51" s="111">
        <f>SUM(Energie!L$52:L58)</f>
        <v>6556.8413975134235</v>
      </c>
      <c r="F51" s="112">
        <f t="shared" si="6"/>
        <v>661192.6341272229</v>
      </c>
      <c r="G51" s="3"/>
      <c r="H51" s="110">
        <f t="shared" si="8"/>
        <v>482946.8702407023</v>
      </c>
      <c r="I51" s="113">
        <f t="shared" si="9"/>
        <v>53859.308983714676</v>
      </c>
      <c r="J51" s="113">
        <f t="shared" si="0"/>
        <v>536806.179224417</v>
      </c>
      <c r="K51" s="111">
        <f>SUM(Energie!D$52:D58)</f>
        <v>50356.03397397652</v>
      </c>
      <c r="L51" s="111">
        <f>SUM(Energie!M$52:M58)</f>
        <v>10818.788305897142</v>
      </c>
      <c r="M51" s="113">
        <f t="shared" si="1"/>
        <v>597981.0015042906</v>
      </c>
      <c r="N51" s="90"/>
      <c r="O51" s="279">
        <f t="shared" si="2"/>
        <v>63211.63262293232</v>
      </c>
      <c r="Q51" s="118">
        <v>46</v>
      </c>
      <c r="R51" s="105"/>
      <c r="S51" s="111">
        <f>Energie!C58</f>
        <v>7932.939753441045</v>
      </c>
      <c r="T51" s="111">
        <f>Energie!L58</f>
        <v>195.42130144108512</v>
      </c>
      <c r="U51" s="112">
        <f t="shared" si="3"/>
        <v>8128.36105488213</v>
      </c>
      <c r="V51" s="3"/>
      <c r="W51" s="110"/>
      <c r="X51" s="113">
        <f>Energie!D58</f>
        <v>2682.211925931655</v>
      </c>
      <c r="Y51" s="111">
        <f>Energie!M58</f>
        <v>322.4451473777902</v>
      </c>
      <c r="Z51" s="113">
        <f t="shared" si="4"/>
        <v>3004.6570733094454</v>
      </c>
      <c r="AA51" s="90"/>
      <c r="AB51" s="279">
        <f t="shared" si="5"/>
        <v>5123.703981572684</v>
      </c>
      <c r="AD51" s="3"/>
      <c r="AE51" s="3"/>
      <c r="AF51" s="3"/>
      <c r="AG51" s="3"/>
      <c r="AH51" s="3"/>
      <c r="AI51" s="3"/>
      <c r="AJ51" s="3"/>
      <c r="AK51" s="113"/>
      <c r="AL51" s="113"/>
      <c r="AM51" s="113"/>
      <c r="AN51" s="113"/>
      <c r="AO51" s="113"/>
    </row>
    <row r="52" spans="2:41" ht="12.75">
      <c r="B52" s="118">
        <v>47</v>
      </c>
      <c r="C52" s="110">
        <f t="shared" si="7"/>
        <v>505702.2279074476</v>
      </c>
      <c r="D52" s="111">
        <f>SUM(Energie!C$52:C59)</f>
        <v>157263.15156337505</v>
      </c>
      <c r="E52" s="111">
        <f>SUM(Energie!L$52:L59)</f>
        <v>6755.194018476125</v>
      </c>
      <c r="F52" s="112">
        <f t="shared" si="6"/>
        <v>669720.5734892988</v>
      </c>
      <c r="G52" s="3"/>
      <c r="H52" s="110">
        <f t="shared" si="8"/>
        <v>482946.8702407023</v>
      </c>
      <c r="I52" s="113">
        <f t="shared" si="9"/>
        <v>53859.308983714676</v>
      </c>
      <c r="J52" s="113">
        <f t="shared" si="0"/>
        <v>536806.179224417</v>
      </c>
      <c r="K52" s="111">
        <f>SUM(Energie!D$52:D59)</f>
        <v>53172.35649620475</v>
      </c>
      <c r="L52" s="111">
        <f>SUM(Energie!M$52:M59)</f>
        <v>11146.0701304856</v>
      </c>
      <c r="M52" s="113">
        <f t="shared" si="1"/>
        <v>601124.6058511073</v>
      </c>
      <c r="N52" s="90"/>
      <c r="O52" s="279">
        <f t="shared" si="2"/>
        <v>68595.96763819153</v>
      </c>
      <c r="Q52" s="118">
        <v>47</v>
      </c>
      <c r="R52" s="105"/>
      <c r="S52" s="111">
        <f>Energie!C59</f>
        <v>8329.586741113097</v>
      </c>
      <c r="T52" s="111">
        <f>Energie!L59</f>
        <v>198.3526209627014</v>
      </c>
      <c r="U52" s="112">
        <f t="shared" si="3"/>
        <v>8527.939362075798</v>
      </c>
      <c r="V52" s="3"/>
      <c r="W52" s="110"/>
      <c r="X52" s="113">
        <f>Energie!D59</f>
        <v>2816.3225222282376</v>
      </c>
      <c r="Y52" s="111">
        <f>Energie!M59</f>
        <v>327.281824588457</v>
      </c>
      <c r="Z52" s="113">
        <f t="shared" si="4"/>
        <v>3143.6043468166945</v>
      </c>
      <c r="AA52" s="90"/>
      <c r="AB52" s="279">
        <f t="shared" si="5"/>
        <v>5384.335015259104</v>
      </c>
      <c r="AD52" s="3"/>
      <c r="AE52" s="3"/>
      <c r="AF52" s="3"/>
      <c r="AG52" s="3"/>
      <c r="AH52" s="3"/>
      <c r="AI52" s="3"/>
      <c r="AJ52" s="3"/>
      <c r="AK52" s="113"/>
      <c r="AL52" s="113"/>
      <c r="AM52" s="113"/>
      <c r="AN52" s="113"/>
      <c r="AO52" s="113"/>
    </row>
    <row r="53" spans="2:41" ht="12.75">
      <c r="B53" s="118">
        <v>48</v>
      </c>
      <c r="C53" s="110">
        <f t="shared" si="7"/>
        <v>505702.2279074476</v>
      </c>
      <c r="D53" s="111">
        <f>SUM(Energie!C$52:C60)</f>
        <v>166009.2176415438</v>
      </c>
      <c r="E53" s="111">
        <f>SUM(Energie!L$52:L60)</f>
        <v>6956.521928753267</v>
      </c>
      <c r="F53" s="112">
        <f t="shared" si="6"/>
        <v>678667.9674777447</v>
      </c>
      <c r="G53" s="3"/>
      <c r="H53" s="110">
        <f t="shared" si="8"/>
        <v>482946.8702407023</v>
      </c>
      <c r="I53" s="113">
        <f t="shared" si="9"/>
        <v>53859.308983714676</v>
      </c>
      <c r="J53" s="113">
        <f t="shared" si="0"/>
        <v>536806.179224417</v>
      </c>
      <c r="K53" s="111">
        <f>SUM(Energie!D$52:D60)</f>
        <v>56129.4951445444</v>
      </c>
      <c r="L53" s="111">
        <f>SUM(Energie!M$52:M60)</f>
        <v>11478.261182442882</v>
      </c>
      <c r="M53" s="113">
        <f t="shared" si="1"/>
        <v>604413.9355514043</v>
      </c>
      <c r="N53" s="90"/>
      <c r="O53" s="279">
        <f t="shared" si="2"/>
        <v>74254.03192634042</v>
      </c>
      <c r="Q53" s="118">
        <v>48</v>
      </c>
      <c r="R53" s="105"/>
      <c r="S53" s="111">
        <f>Energie!C60</f>
        <v>8746.066078168751</v>
      </c>
      <c r="T53" s="111">
        <f>Energie!L60</f>
        <v>201.3279102771419</v>
      </c>
      <c r="U53" s="112">
        <f t="shared" si="3"/>
        <v>8947.393988445892</v>
      </c>
      <c r="V53" s="3"/>
      <c r="W53" s="110"/>
      <c r="X53" s="113">
        <f>Energie!D60</f>
        <v>2957.1386483396495</v>
      </c>
      <c r="Y53" s="111">
        <f>Energie!M60</f>
        <v>332.1910519572839</v>
      </c>
      <c r="Z53" s="113">
        <f t="shared" si="4"/>
        <v>3289.3297002969334</v>
      </c>
      <c r="AA53" s="90"/>
      <c r="AB53" s="279">
        <f t="shared" si="5"/>
        <v>5658.064288148958</v>
      </c>
      <c r="AD53" s="3"/>
      <c r="AE53" s="3"/>
      <c r="AF53" s="3"/>
      <c r="AG53" s="3"/>
      <c r="AH53" s="3"/>
      <c r="AI53" s="3"/>
      <c r="AJ53" s="3"/>
      <c r="AK53" s="113"/>
      <c r="AL53" s="113"/>
      <c r="AM53" s="113"/>
      <c r="AN53" s="113"/>
      <c r="AO53" s="113"/>
    </row>
    <row r="54" spans="2:41" ht="12.75">
      <c r="B54" s="118">
        <v>49</v>
      </c>
      <c r="C54" s="110">
        <f t="shared" si="7"/>
        <v>505702.2279074476</v>
      </c>
      <c r="D54" s="111">
        <f>SUM(Energie!C$52:C61)</f>
        <v>175192.587023621</v>
      </c>
      <c r="E54" s="111">
        <f>SUM(Energie!L$52:L61)</f>
        <v>7160.869757684566</v>
      </c>
      <c r="F54" s="112">
        <f t="shared" si="6"/>
        <v>688055.6846887531</v>
      </c>
      <c r="G54" s="3"/>
      <c r="H54" s="110">
        <f t="shared" si="8"/>
        <v>482946.8702407023</v>
      </c>
      <c r="I54" s="113">
        <f t="shared" si="9"/>
        <v>53859.308983714676</v>
      </c>
      <c r="J54" s="113">
        <f t="shared" si="0"/>
        <v>536806.179224417</v>
      </c>
      <c r="K54" s="111">
        <f>SUM(Energie!D$52:D61)</f>
        <v>59234.49072530103</v>
      </c>
      <c r="L54" s="111">
        <f>SUM(Energie!M$52:M61)</f>
        <v>11815.435100179526</v>
      </c>
      <c r="M54" s="113">
        <f t="shared" si="1"/>
        <v>607856.1050498976</v>
      </c>
      <c r="N54" s="90"/>
      <c r="O54" s="279">
        <f t="shared" si="2"/>
        <v>80199.57963885553</v>
      </c>
      <c r="Q54" s="118">
        <v>49</v>
      </c>
      <c r="R54" s="105"/>
      <c r="S54" s="111">
        <f>Energie!C61</f>
        <v>9183.369382077188</v>
      </c>
      <c r="T54" s="111">
        <f>Energie!L61</f>
        <v>204.34782893129903</v>
      </c>
      <c r="U54" s="112">
        <f t="shared" si="3"/>
        <v>9387.717211008487</v>
      </c>
      <c r="V54" s="3"/>
      <c r="W54" s="110"/>
      <c r="X54" s="113">
        <f>Energie!D61</f>
        <v>3104.995580756632</v>
      </c>
      <c r="Y54" s="111">
        <f>Energie!M61</f>
        <v>337.17391773664315</v>
      </c>
      <c r="Z54" s="113">
        <f t="shared" si="4"/>
        <v>3442.169498493275</v>
      </c>
      <c r="AA54" s="90"/>
      <c r="AB54" s="279">
        <f t="shared" si="5"/>
        <v>5945.547712515212</v>
      </c>
      <c r="AD54" s="3"/>
      <c r="AE54" s="3"/>
      <c r="AF54" s="3"/>
      <c r="AG54" s="3"/>
      <c r="AH54" s="3"/>
      <c r="AI54" s="3"/>
      <c r="AJ54" s="3"/>
      <c r="AK54" s="113"/>
      <c r="AL54" s="113"/>
      <c r="AM54" s="113"/>
      <c r="AN54" s="113"/>
      <c r="AO54" s="113"/>
    </row>
    <row r="55" spans="2:41" ht="13.5" thickBot="1">
      <c r="B55" s="121">
        <v>50</v>
      </c>
      <c r="C55" s="122">
        <f t="shared" si="7"/>
        <v>505702.2279074476</v>
      </c>
      <c r="D55" s="123">
        <f>SUM(Energie!C$52:C62)</f>
        <v>184835.12487480204</v>
      </c>
      <c r="E55" s="123">
        <f>SUM(Energie!L$52:L62)</f>
        <v>7368.282804049834</v>
      </c>
      <c r="F55" s="428">
        <f t="shared" si="6"/>
        <v>697905.6355862995</v>
      </c>
      <c r="G55" s="124"/>
      <c r="H55" s="122">
        <f t="shared" si="8"/>
        <v>482946.8702407023</v>
      </c>
      <c r="I55" s="125">
        <f t="shared" si="9"/>
        <v>53859.308983714676</v>
      </c>
      <c r="J55" s="125">
        <f t="shared" si="0"/>
        <v>536806.179224417</v>
      </c>
      <c r="K55" s="123">
        <f>SUM(Energie!D$52:D62)</f>
        <v>62494.736085095494</v>
      </c>
      <c r="L55" s="123">
        <f>SUM(Energie!M$52:M62)</f>
        <v>12157.66662668222</v>
      </c>
      <c r="M55" s="125">
        <f t="shared" si="1"/>
        <v>611458.5819361947</v>
      </c>
      <c r="N55" s="277"/>
      <c r="O55" s="280">
        <f t="shared" si="2"/>
        <v>86447.05365010479</v>
      </c>
      <c r="Q55" s="121">
        <v>50</v>
      </c>
      <c r="R55" s="131"/>
      <c r="S55" s="123">
        <f>Energie!C62</f>
        <v>9642.537851181047</v>
      </c>
      <c r="T55" s="123">
        <f>Energie!L62</f>
        <v>207.4130463652685</v>
      </c>
      <c r="U55" s="428">
        <f t="shared" si="3"/>
        <v>9849.950897546316</v>
      </c>
      <c r="V55" s="124"/>
      <c r="W55" s="122"/>
      <c r="X55" s="125">
        <f>Energie!D62</f>
        <v>3260.2453597944636</v>
      </c>
      <c r="Y55" s="123">
        <f>Energie!M62</f>
        <v>342.2315265026928</v>
      </c>
      <c r="Z55" s="125">
        <f t="shared" si="4"/>
        <v>3602.4768862971564</v>
      </c>
      <c r="AA55" s="277"/>
      <c r="AB55" s="281">
        <f t="shared" si="5"/>
        <v>6247.47401124916</v>
      </c>
      <c r="AD55" s="3"/>
      <c r="AE55" s="3"/>
      <c r="AF55" s="3"/>
      <c r="AG55" s="3"/>
      <c r="AH55" s="3"/>
      <c r="AI55" s="3"/>
      <c r="AJ55" s="3"/>
      <c r="AK55" s="113"/>
      <c r="AL55" s="113"/>
      <c r="AM55" s="113"/>
      <c r="AN55" s="113"/>
      <c r="AO55" s="113"/>
    </row>
    <row r="56" spans="2:17" ht="12.75">
      <c r="B56" s="101"/>
      <c r="C56" s="6"/>
      <c r="Q56" s="101"/>
    </row>
    <row r="57" spans="2:17" ht="12.75">
      <c r="B57" s="101"/>
      <c r="C57" s="6"/>
      <c r="Q57" s="101"/>
    </row>
    <row r="58" ht="12.75">
      <c r="F58" s="101"/>
    </row>
  </sheetData>
  <sheetProtection password="A388" sheet="1" objects="1" scenarios="1" selectLockedCells="1" selectUnlockedCells="1"/>
  <mergeCells count="6">
    <mergeCell ref="AD8:AH8"/>
    <mergeCell ref="AD2:AH2"/>
    <mergeCell ref="H2:M2"/>
    <mergeCell ref="C2:F2"/>
    <mergeCell ref="R2:U2"/>
    <mergeCell ref="W2:Z2"/>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Architekt Ambrosius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Kostenvergleich: Standardhaus zu Passivhaus</dc:title>
  <dc:subject/>
  <dc:creator>Bodo Ambrosius</dc:creator>
  <cp:keywords/>
  <dc:description/>
  <cp:lastModifiedBy>Windows User</cp:lastModifiedBy>
  <cp:lastPrinted>2012-05-09T09:46:21Z</cp:lastPrinted>
  <dcterms:created xsi:type="dcterms:W3CDTF">2005-04-28T10:54:36Z</dcterms:created>
  <dcterms:modified xsi:type="dcterms:W3CDTF">2019-11-06T14:27:15Z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